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Formació DDL - Finançament afectat i ajustos SEC\"/>
    </mc:Choice>
  </mc:AlternateContent>
  <bookViews>
    <workbookView xWindow="0" yWindow="0" windowWidth="28800" windowHeight="12000" activeTab="3"/>
  </bookViews>
  <sheets>
    <sheet name="Supòsit 1" sheetId="1" r:id="rId1"/>
    <sheet name="Solució supòsit 1" sheetId="2" r:id="rId2"/>
    <sheet name="Supòsit 2" sheetId="3" r:id="rId3"/>
    <sheet name="Solució supòsit 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4" l="1"/>
  <c r="E143" i="4"/>
  <c r="E128" i="4"/>
  <c r="F164" i="4" s="1"/>
  <c r="F166" i="4" s="1"/>
  <c r="H116" i="4"/>
  <c r="E145" i="4" s="1"/>
  <c r="H115" i="4"/>
  <c r="H108" i="4"/>
  <c r="E131" i="4" s="1"/>
  <c r="C107" i="4"/>
  <c r="E150" i="4" s="1"/>
  <c r="H99" i="4"/>
  <c r="H120" i="4" s="1"/>
  <c r="H121" i="4" s="1"/>
  <c r="C98" i="4"/>
  <c r="C97" i="4"/>
  <c r="C96" i="4"/>
  <c r="C100" i="4" s="1"/>
  <c r="C85" i="4"/>
  <c r="I34" i="4"/>
  <c r="G34" i="4"/>
  <c r="D34" i="4"/>
  <c r="J33" i="4"/>
  <c r="H33" i="4"/>
  <c r="E33" i="4"/>
  <c r="C33" i="4"/>
  <c r="H32" i="4"/>
  <c r="J32" i="4" s="1"/>
  <c r="E32" i="4"/>
  <c r="F31" i="4"/>
  <c r="F34" i="4" s="1"/>
  <c r="C31" i="4"/>
  <c r="C34" i="4" s="1"/>
  <c r="C35" i="4" s="1"/>
  <c r="J30" i="4"/>
  <c r="H30" i="4"/>
  <c r="E30" i="4"/>
  <c r="J29" i="4"/>
  <c r="H29" i="4"/>
  <c r="E29" i="4"/>
  <c r="J28" i="4"/>
  <c r="E28" i="4"/>
  <c r="H27" i="4"/>
  <c r="J27" i="4" s="1"/>
  <c r="E27" i="4"/>
  <c r="J26" i="4"/>
  <c r="H26" i="4"/>
  <c r="C26" i="4"/>
  <c r="E26" i="4" s="1"/>
  <c r="J25" i="4"/>
  <c r="H25" i="4"/>
  <c r="E25" i="4"/>
  <c r="C25" i="4"/>
  <c r="I18" i="4"/>
  <c r="H18" i="4"/>
  <c r="G18" i="4"/>
  <c r="F18" i="4"/>
  <c r="D18" i="4"/>
  <c r="C18" i="4"/>
  <c r="J17" i="4"/>
  <c r="K17" i="4" s="1"/>
  <c r="E17" i="4"/>
  <c r="J16" i="4"/>
  <c r="K16" i="4" s="1"/>
  <c r="E16" i="4"/>
  <c r="J15" i="4"/>
  <c r="K15" i="4" s="1"/>
  <c r="E15" i="4"/>
  <c r="J14" i="4"/>
  <c r="K14" i="4" s="1"/>
  <c r="E14" i="4"/>
  <c r="K13" i="4"/>
  <c r="E13" i="4"/>
  <c r="K12" i="4"/>
  <c r="J12" i="4"/>
  <c r="E12" i="4"/>
  <c r="K11" i="4"/>
  <c r="J11" i="4"/>
  <c r="E11" i="4"/>
  <c r="K10" i="4"/>
  <c r="J10" i="4"/>
  <c r="E10" i="4"/>
  <c r="K9" i="4"/>
  <c r="J9" i="4"/>
  <c r="J18" i="4" s="1"/>
  <c r="E9" i="4"/>
  <c r="E18" i="4" s="1"/>
  <c r="I34" i="3"/>
  <c r="G34" i="3"/>
  <c r="D34" i="3"/>
  <c r="J33" i="3"/>
  <c r="H33" i="3"/>
  <c r="E33" i="3"/>
  <c r="C33" i="3"/>
  <c r="H32" i="3"/>
  <c r="J32" i="3" s="1"/>
  <c r="E32" i="3"/>
  <c r="F31" i="3"/>
  <c r="F34" i="3" s="1"/>
  <c r="C31" i="3"/>
  <c r="C34" i="3" s="1"/>
  <c r="C35" i="3" s="1"/>
  <c r="J30" i="3"/>
  <c r="H30" i="3"/>
  <c r="E30" i="3"/>
  <c r="H29" i="3"/>
  <c r="J29" i="3" s="1"/>
  <c r="E29" i="3"/>
  <c r="J28" i="3"/>
  <c r="E28" i="3"/>
  <c r="H27" i="3"/>
  <c r="J27" i="3" s="1"/>
  <c r="E27" i="3"/>
  <c r="J26" i="3"/>
  <c r="H26" i="3"/>
  <c r="C26" i="3"/>
  <c r="E26" i="3" s="1"/>
  <c r="H25" i="3"/>
  <c r="E25" i="3"/>
  <c r="C25" i="3"/>
  <c r="I18" i="3"/>
  <c r="H18" i="3"/>
  <c r="G18" i="3"/>
  <c r="F18" i="3"/>
  <c r="D18" i="3"/>
  <c r="C18" i="3"/>
  <c r="J17" i="3"/>
  <c r="K17" i="3" s="1"/>
  <c r="E17" i="3"/>
  <c r="J16" i="3"/>
  <c r="K16" i="3" s="1"/>
  <c r="E16" i="3"/>
  <c r="J15" i="3"/>
  <c r="K15" i="3" s="1"/>
  <c r="E15" i="3"/>
  <c r="J14" i="3"/>
  <c r="K14" i="3" s="1"/>
  <c r="E14" i="3"/>
  <c r="K13" i="3"/>
  <c r="E13" i="3"/>
  <c r="K12" i="3"/>
  <c r="J12" i="3"/>
  <c r="E12" i="3"/>
  <c r="J11" i="3"/>
  <c r="K11" i="3" s="1"/>
  <c r="E11" i="3"/>
  <c r="K10" i="3"/>
  <c r="J10" i="3"/>
  <c r="E10" i="3"/>
  <c r="J9" i="3"/>
  <c r="J18" i="3" s="1"/>
  <c r="E9" i="3"/>
  <c r="E18" i="3" s="1"/>
  <c r="E144" i="2"/>
  <c r="H111" i="2"/>
  <c r="E139" i="2" s="1"/>
  <c r="H103" i="2"/>
  <c r="E125" i="2" s="1"/>
  <c r="C102" i="2"/>
  <c r="H94" i="2"/>
  <c r="E137" i="2" s="1"/>
  <c r="C93" i="2"/>
  <c r="H91" i="2"/>
  <c r="G34" i="2"/>
  <c r="D34" i="2"/>
  <c r="I33" i="2"/>
  <c r="K33" i="2" s="1"/>
  <c r="E33" i="2"/>
  <c r="K32" i="2"/>
  <c r="I32" i="2"/>
  <c r="E32" i="2"/>
  <c r="I31" i="2"/>
  <c r="K31" i="2" s="1"/>
  <c r="E31" i="2"/>
  <c r="K30" i="2"/>
  <c r="I30" i="2"/>
  <c r="E30" i="2"/>
  <c r="J29" i="2"/>
  <c r="F29" i="2"/>
  <c r="I29" i="2" s="1"/>
  <c r="K29" i="2" s="1"/>
  <c r="E29" i="2"/>
  <c r="J28" i="2"/>
  <c r="I28" i="2"/>
  <c r="K28" i="2" s="1"/>
  <c r="F28" i="2"/>
  <c r="E28" i="2"/>
  <c r="C28" i="2"/>
  <c r="J27" i="2"/>
  <c r="I27" i="2"/>
  <c r="K27" i="2" s="1"/>
  <c r="H27" i="2"/>
  <c r="F27" i="2"/>
  <c r="E27" i="2"/>
  <c r="C27" i="2"/>
  <c r="I26" i="2"/>
  <c r="K26" i="2" s="1"/>
  <c r="E26" i="2"/>
  <c r="J25" i="2"/>
  <c r="C92" i="2" s="1"/>
  <c r="H25" i="2"/>
  <c r="H34" i="2" s="1"/>
  <c r="F25" i="2"/>
  <c r="F34" i="2" s="1"/>
  <c r="C25" i="2"/>
  <c r="E25" i="2" s="1"/>
  <c r="E34" i="2" s="1"/>
  <c r="K17" i="2"/>
  <c r="J17" i="2"/>
  <c r="L17" i="2" s="1"/>
  <c r="E17" i="2"/>
  <c r="L16" i="2"/>
  <c r="K16" i="2"/>
  <c r="J16" i="2"/>
  <c r="E16" i="2"/>
  <c r="L15" i="2"/>
  <c r="K15" i="2"/>
  <c r="J15" i="2"/>
  <c r="E15" i="2"/>
  <c r="K14" i="2"/>
  <c r="J14" i="2"/>
  <c r="L14" i="2" s="1"/>
  <c r="I14" i="2"/>
  <c r="H14" i="2"/>
  <c r="E14" i="2"/>
  <c r="F14" i="2" s="1"/>
  <c r="G14" i="2" s="1"/>
  <c r="D14" i="2"/>
  <c r="D18" i="2" s="1"/>
  <c r="C14" i="2"/>
  <c r="L13" i="2"/>
  <c r="K13" i="2"/>
  <c r="J13" i="2"/>
  <c r="E13" i="2"/>
  <c r="J12" i="2"/>
  <c r="I12" i="2"/>
  <c r="L12" i="2" s="1"/>
  <c r="H12" i="2"/>
  <c r="K12" i="2" s="1"/>
  <c r="C12" i="2"/>
  <c r="E12" i="2" s="1"/>
  <c r="F12" i="2" s="1"/>
  <c r="G12" i="2" s="1"/>
  <c r="K11" i="2"/>
  <c r="J11" i="2"/>
  <c r="L11" i="2" s="1"/>
  <c r="E11" i="2"/>
  <c r="J10" i="2"/>
  <c r="I10" i="2"/>
  <c r="L10" i="2" s="1"/>
  <c r="H10" i="2"/>
  <c r="C80" i="2" s="1"/>
  <c r="C10" i="2"/>
  <c r="E10" i="2" s="1"/>
  <c r="F10" i="2" s="1"/>
  <c r="G10" i="2" s="1"/>
  <c r="K9" i="2"/>
  <c r="J9" i="2"/>
  <c r="L9" i="2" s="1"/>
  <c r="I9" i="2"/>
  <c r="H9" i="2"/>
  <c r="E122" i="2" s="1"/>
  <c r="F158" i="2" s="1"/>
  <c r="F160" i="2" s="1"/>
  <c r="E9" i="2"/>
  <c r="F9" i="2" s="1"/>
  <c r="C9" i="2"/>
  <c r="C18" i="2" s="1"/>
  <c r="G34" i="1"/>
  <c r="D34" i="1"/>
  <c r="K33" i="1"/>
  <c r="I33" i="1"/>
  <c r="E33" i="1"/>
  <c r="I32" i="1"/>
  <c r="K32" i="1" s="1"/>
  <c r="E32" i="1"/>
  <c r="K31" i="1"/>
  <c r="I31" i="1"/>
  <c r="E31" i="1"/>
  <c r="I30" i="1"/>
  <c r="K30" i="1" s="1"/>
  <c r="E30" i="1"/>
  <c r="J29" i="1"/>
  <c r="I29" i="1"/>
  <c r="K29" i="1" s="1"/>
  <c r="F29" i="1"/>
  <c r="E29" i="1"/>
  <c r="J28" i="1"/>
  <c r="F28" i="1"/>
  <c r="I28" i="1" s="1"/>
  <c r="K28" i="1" s="1"/>
  <c r="C28" i="1"/>
  <c r="E28" i="1" s="1"/>
  <c r="J27" i="1"/>
  <c r="H27" i="1"/>
  <c r="I27" i="1" s="1"/>
  <c r="K27" i="1" s="1"/>
  <c r="F27" i="1"/>
  <c r="C27" i="1"/>
  <c r="E27" i="1" s="1"/>
  <c r="K26" i="1"/>
  <c r="I26" i="1"/>
  <c r="E26" i="1"/>
  <c r="J25" i="1"/>
  <c r="J34" i="1" s="1"/>
  <c r="I25" i="1"/>
  <c r="K25" i="1" s="1"/>
  <c r="H25" i="1"/>
  <c r="H34" i="1" s="1"/>
  <c r="F25" i="1"/>
  <c r="E25" i="1"/>
  <c r="E34" i="1" s="1"/>
  <c r="C25" i="1"/>
  <c r="C34" i="1" s="1"/>
  <c r="K17" i="1"/>
  <c r="J17" i="1"/>
  <c r="L17" i="1" s="1"/>
  <c r="E17" i="1"/>
  <c r="K16" i="1"/>
  <c r="J16" i="1"/>
  <c r="L16" i="1" s="1"/>
  <c r="E16" i="1"/>
  <c r="L15" i="1"/>
  <c r="K15" i="1"/>
  <c r="J15" i="1"/>
  <c r="E15" i="1"/>
  <c r="J14" i="1"/>
  <c r="I14" i="1"/>
  <c r="L14" i="1" s="1"/>
  <c r="H14" i="1"/>
  <c r="K14" i="1" s="1"/>
  <c r="D14" i="1"/>
  <c r="D18" i="1" s="1"/>
  <c r="C14" i="1"/>
  <c r="E14" i="1" s="1"/>
  <c r="F14" i="1" s="1"/>
  <c r="G14" i="1" s="1"/>
  <c r="K13" i="1"/>
  <c r="J13" i="1"/>
  <c r="L13" i="1" s="1"/>
  <c r="E13" i="1"/>
  <c r="L12" i="1"/>
  <c r="K12" i="1"/>
  <c r="J12" i="1"/>
  <c r="I12" i="1"/>
  <c r="H12" i="1"/>
  <c r="H18" i="1" s="1"/>
  <c r="E12" i="1"/>
  <c r="F12" i="1" s="1"/>
  <c r="G12" i="1" s="1"/>
  <c r="C12" i="1"/>
  <c r="L11" i="1"/>
  <c r="K11" i="1"/>
  <c r="J11" i="1"/>
  <c r="E11" i="1"/>
  <c r="L10" i="1"/>
  <c r="J10" i="1"/>
  <c r="I10" i="1"/>
  <c r="K10" i="1" s="1"/>
  <c r="H10" i="1"/>
  <c r="F10" i="1"/>
  <c r="G10" i="1" s="1"/>
  <c r="E10" i="1"/>
  <c r="C10" i="1"/>
  <c r="J9" i="1"/>
  <c r="J18" i="1" s="1"/>
  <c r="I9" i="1"/>
  <c r="L9" i="1" s="1"/>
  <c r="H9" i="1"/>
  <c r="K9" i="1" s="1"/>
  <c r="K18" i="1" s="1"/>
  <c r="C9" i="1"/>
  <c r="E9" i="1" s="1"/>
  <c r="F171" i="4" l="1"/>
  <c r="F175" i="4" s="1"/>
  <c r="J34" i="4"/>
  <c r="K18" i="4"/>
  <c r="D120" i="4"/>
  <c r="E130" i="4"/>
  <c r="E152" i="4" s="1"/>
  <c r="E127" i="4"/>
  <c r="E129" i="4" s="1"/>
  <c r="E153" i="4" s="1"/>
  <c r="E155" i="4" s="1"/>
  <c r="F167" i="4"/>
  <c r="E31" i="4"/>
  <c r="E34" i="4" s="1"/>
  <c r="H31" i="4"/>
  <c r="J31" i="4" s="1"/>
  <c r="E34" i="3"/>
  <c r="H34" i="3"/>
  <c r="K9" i="3"/>
  <c r="K18" i="3" s="1"/>
  <c r="J25" i="3"/>
  <c r="H31" i="3"/>
  <c r="J31" i="3" s="1"/>
  <c r="E31" i="3"/>
  <c r="L18" i="2"/>
  <c r="K18" i="2"/>
  <c r="F18" i="2"/>
  <c r="G9" i="2"/>
  <c r="G18" i="2" s="1"/>
  <c r="K10" i="2"/>
  <c r="I18" i="2"/>
  <c r="H114" i="2"/>
  <c r="H115" i="2" s="1"/>
  <c r="J18" i="2"/>
  <c r="F161" i="2"/>
  <c r="F165" i="2" s="1"/>
  <c r="F169" i="2" s="1"/>
  <c r="E18" i="2"/>
  <c r="I25" i="2"/>
  <c r="C34" i="2"/>
  <c r="F162" i="2"/>
  <c r="J34" i="2"/>
  <c r="H18" i="2"/>
  <c r="F9" i="1"/>
  <c r="E18" i="1"/>
  <c r="L18" i="1"/>
  <c r="K34" i="1"/>
  <c r="F34" i="1"/>
  <c r="C18" i="1"/>
  <c r="I18" i="1"/>
  <c r="I34" i="1"/>
  <c r="F178" i="4" l="1"/>
  <c r="F179" i="4" s="1"/>
  <c r="H34" i="4"/>
  <c r="C84" i="4"/>
  <c r="J34" i="3"/>
  <c r="F172" i="2"/>
  <c r="F173" i="2"/>
  <c r="C79" i="2"/>
  <c r="E121" i="2"/>
  <c r="E123" i="2" s="1"/>
  <c r="K25" i="2"/>
  <c r="K34" i="2" s="1"/>
  <c r="C91" i="2"/>
  <c r="C95" i="2" s="1"/>
  <c r="I34" i="2"/>
  <c r="F18" i="1"/>
  <c r="G9" i="1"/>
  <c r="G18" i="1" s="1"/>
  <c r="D121" i="4" l="1"/>
  <c r="E123" i="4" s="1"/>
  <c r="E87" i="4"/>
  <c r="D114" i="2"/>
  <c r="E124" i="2"/>
  <c r="E146" i="2" s="1"/>
  <c r="E147" i="2"/>
  <c r="E149" i="2" s="1"/>
  <c r="D115" i="2"/>
  <c r="E117" i="2" s="1"/>
  <c r="E82" i="2"/>
</calcChain>
</file>

<file path=xl/sharedStrings.xml><?xml version="1.0" encoding="utf-8"?>
<sst xmlns="http://schemas.openxmlformats.org/spreadsheetml/2006/main" count="422" uniqueCount="175">
  <si>
    <t>Capítulo</t>
  </si>
  <si>
    <t>Créditos iniciales</t>
  </si>
  <si>
    <t>Modificaciones de crédito</t>
  </si>
  <si>
    <t>Créditos definitivos</t>
  </si>
  <si>
    <t>Autorizaciones</t>
  </si>
  <si>
    <t>Disposiciones</t>
  </si>
  <si>
    <t>Obligaciones reconocidas</t>
  </si>
  <si>
    <t>Pagos ordenados</t>
  </si>
  <si>
    <t>pagos realizados</t>
  </si>
  <si>
    <t>Obligaciones reconocidas pendientes de pago</t>
  </si>
  <si>
    <t>Pagos ordenados Pendiente de pago</t>
  </si>
  <si>
    <t>TOTALES</t>
  </si>
  <si>
    <t>Previsiones iniciales</t>
  </si>
  <si>
    <t>Previsiones definitivas</t>
  </si>
  <si>
    <t>Derechos reconocidos</t>
  </si>
  <si>
    <t>Derechos anulados</t>
  </si>
  <si>
    <t>Derechos cancelados</t>
  </si>
  <si>
    <t>Derechos reconocidos netos</t>
  </si>
  <si>
    <t>Recaudación líquida</t>
  </si>
  <si>
    <t>derechos pendientes de cobro</t>
  </si>
  <si>
    <t>Datos adicionales</t>
  </si>
  <si>
    <t>Recaudación de ejercicios cerrados</t>
  </si>
  <si>
    <t xml:space="preserve">Derechos reconocidos </t>
  </si>
  <si>
    <t xml:space="preserve">Recaudación </t>
  </si>
  <si>
    <t>Capítulo 1</t>
  </si>
  <si>
    <t>Capítulo 2</t>
  </si>
  <si>
    <t>Capítulo 3</t>
  </si>
  <si>
    <t>Liquidaciones definitivas negativas de Participación municipal en los tributos del estado</t>
  </si>
  <si>
    <t>Liquidación negativa PTME 2008: 50.000,00 (Importe reintegro anualidad)</t>
  </si>
  <si>
    <t>Liquidación negativa PTME 2009: 80.000,00 (Importe reintegro anualidad)</t>
  </si>
  <si>
    <t>Operaciones pendientes de aplicar</t>
  </si>
  <si>
    <t>Operaciones pendientes del ejercicio anterior (anterior a la liquidación que realizamos): 75.000</t>
  </si>
  <si>
    <t>Operaciones pendientes de aplicación del ejercicio corriente (115.000,00)</t>
  </si>
  <si>
    <t>Intereses de deuda</t>
  </si>
  <si>
    <t>Durante el ejercicio N (actual) se han reconocido obligaciones procedentes de intereses procedentes</t>
  </si>
  <si>
    <t xml:space="preserve">de operaciones de crédito correpondiente al ejercicio anterior por importe de 1.500 euros. </t>
  </si>
  <si>
    <t xml:space="preserve">El ejercicio N+1 (ejercicio siguiente) se reconocerán 750,00 euros en concepto de intereses correspondientes </t>
  </si>
  <si>
    <t>a la anualidad N</t>
  </si>
  <si>
    <t xml:space="preserve">Durante el ejercicio corriente se ha reconocido un total de 50.000 euros corresondiente a un </t>
  </si>
  <si>
    <t>arrendamiento financiero (renting) realizado en el ejercicio X-2.</t>
  </si>
  <si>
    <t>En caso de inclumplimiento, indicar como debería proceder la corporación.</t>
  </si>
  <si>
    <t xml:space="preserve">EJERCICI ESTABILITAT PRESUPOSTARIA - 1 </t>
  </si>
  <si>
    <t>LIQUIDACIÓ</t>
  </si>
  <si>
    <t>PRESSUPOST DE DESPESES</t>
  </si>
  <si>
    <t>PRESSUPOST D'INGRESSOS</t>
  </si>
  <si>
    <t>Dades adicionals</t>
  </si>
  <si>
    <t>Recaptació d'exercicis tancats</t>
  </si>
  <si>
    <t>Liquidacions definitives negatives de Participació municipal en tributs de l'estado</t>
  </si>
  <si>
    <t>Operacions pendents d'aplicar</t>
  </si>
  <si>
    <t>Interessos de deute</t>
  </si>
  <si>
    <t>QUÈ HEM DE FER?</t>
  </si>
  <si>
    <t>Calcular si la Entidad compleix el principi d'Estabilitat Presupostaria</t>
  </si>
  <si>
    <t>En cas d'incompliment, indicar com hauria de procedir la Corporació</t>
  </si>
  <si>
    <t>Calcular el sostre màxim de despesa en l'exercici següent, sabent que la RG es de 1,7%</t>
  </si>
  <si>
    <t>1.- Calcular si la Entidad cumple con la Estabilidad Presupuestaria</t>
  </si>
  <si>
    <t>2.- Calcular el techo máximo de gasto en el ejercicio siguiente, sabiendo que RG es de 1,7%</t>
  </si>
  <si>
    <t>DRN 1-7</t>
  </si>
  <si>
    <t>ORN 1-7</t>
  </si>
  <si>
    <t>Capacidad de financiación antes de ajustes</t>
  </si>
  <si>
    <t>AJUSTES</t>
  </si>
  <si>
    <t>Ajustes en materia de Ingresos</t>
  </si>
  <si>
    <t>Ajustes en materia de Gastos</t>
  </si>
  <si>
    <t>1. Ajuste por recaudación</t>
  </si>
  <si>
    <t>1. Ajuste OPA's</t>
  </si>
  <si>
    <t>Definición y sentido del ajuste</t>
  </si>
  <si>
    <t>DRN 1-3</t>
  </si>
  <si>
    <t>OPA's que no son del ejercicio</t>
  </si>
  <si>
    <t>I 1-3 corriente</t>
  </si>
  <si>
    <t>OPA's del ejercicio</t>
  </si>
  <si>
    <t>I 1-3 cerrados</t>
  </si>
  <si>
    <t>Total ajuste</t>
  </si>
  <si>
    <t>Positivo, incrementa gastos, y por tanto minora EP</t>
  </si>
  <si>
    <t>Positivo, incrementa ingresos, y por tanto EP</t>
  </si>
  <si>
    <t>4. Ajuste intereses</t>
  </si>
  <si>
    <t>2. Ajuste PIE</t>
  </si>
  <si>
    <t>Gasto que no es del ejercicio</t>
  </si>
  <si>
    <t>Gasto que es del ejercicio</t>
  </si>
  <si>
    <t>Ajuste</t>
  </si>
  <si>
    <t>Negativo, minora gastos, y por tanto mejora EP</t>
  </si>
  <si>
    <t>5. Ajuste Arrendamientos financieros</t>
  </si>
  <si>
    <t>Gasto del ejercicio</t>
  </si>
  <si>
    <t>Total ajustes ingresos</t>
  </si>
  <si>
    <t>Total ajustes gastos</t>
  </si>
  <si>
    <t>Ingresos Ajustados</t>
  </si>
  <si>
    <t>Gastos Ajustados</t>
  </si>
  <si>
    <t xml:space="preserve">CAPACIDAD / NECESIDAD DE FINANCIACIÓN = </t>
  </si>
  <si>
    <t xml:space="preserve">SALDO PRESSUPOSTARI NO FINANCIERO </t>
  </si>
  <si>
    <t>1.- TOTAL INGRESO NO FINANCIERO</t>
  </si>
  <si>
    <t>2.- TOTAL GASTO NO FINANCIERO</t>
  </si>
  <si>
    <t>Saldo presupuestario no financiero</t>
  </si>
  <si>
    <t>1.- Ajuste  por recaudación</t>
  </si>
  <si>
    <t xml:space="preserve">2.- Ajuste por devengo de gastos financieros </t>
  </si>
  <si>
    <t>3. Ajuste por diferencias de cambio</t>
  </si>
  <si>
    <t xml:space="preserve">4.- Ajuste por inversiones realizadas por sistema d'abono total del precio </t>
  </si>
  <si>
    <t xml:space="preserve">5.- Ajuste por inversiones realizadas por cuenta de CCLL </t>
  </si>
  <si>
    <t xml:space="preserve">6.- Ajuste por consolidación de transferencias entre AAPP </t>
  </si>
  <si>
    <t xml:space="preserve">7.- Ajuste por ingresos por venta de acciones </t>
  </si>
  <si>
    <t xml:space="preserve">8.- Ajuste por dividendos y participaciónd en beneficios </t>
  </si>
  <si>
    <t xml:space="preserve">9.- Ajuste por ingresos de la UE </t>
  </si>
  <si>
    <t xml:space="preserve">10.- Ajuste por operaciones SWAP </t>
  </si>
  <si>
    <t xml:space="preserve">11.- Ajuste por operaciones d'ejecución y reintegro de avales </t>
  </si>
  <si>
    <t xml:space="preserve">12.- Ajuste por aportaciones de capital a empresas públicas </t>
  </si>
  <si>
    <t xml:space="preserve">13.- Ajuste por cancelación de deudas en empresas públicas </t>
  </si>
  <si>
    <t xml:space="preserve">14.- Ajuste por gastos pendientes de aplicar al presupuesto </t>
  </si>
  <si>
    <t xml:space="preserve">15.- Ajuste por adquisiciones con pago aplazado </t>
  </si>
  <si>
    <t xml:space="preserve">16.- Ajuste por arrendamiento financiero </t>
  </si>
  <si>
    <t>17.- Ajuste por contratos CPP</t>
  </si>
  <si>
    <t xml:space="preserve">18.- Ajuste por inversiones por cuenta de otras AP </t>
  </si>
  <si>
    <t xml:space="preserve">19.- Ajuste por fallidos de prestamos concedidos </t>
  </si>
  <si>
    <t>20.- Ajuste por operaciones de censo</t>
  </si>
  <si>
    <t xml:space="preserve">21.- Ajuste Liquidaciones negativas PTME </t>
  </si>
  <si>
    <t xml:space="preserve">23.- Ajuste por devolución de ingresos pendientes de pago </t>
  </si>
  <si>
    <t>Total ajustes</t>
  </si>
  <si>
    <t>CAPACIDAD DE FINANCIACIÓN</t>
  </si>
  <si>
    <t>PORCENTAGE CAPACIDAD</t>
  </si>
  <si>
    <t>La entidad cumple con el principio de estabilidad presupuestaria</t>
  </si>
  <si>
    <t>Definición, explicación y regulación</t>
  </si>
  <si>
    <t>=</t>
  </si>
  <si>
    <t>A) Empleos no financieros (cap 1-7)</t>
  </si>
  <si>
    <t>( - )</t>
  </si>
  <si>
    <t>( = )</t>
  </si>
  <si>
    <t>B) Empleos No financieros sin intereses de deuda</t>
  </si>
  <si>
    <t>( + / - )</t>
  </si>
  <si>
    <t>Ajustes SEC: Acreedores por op. Pend. (OPA)</t>
  </si>
  <si>
    <t>Ajustes SEC: Arrendamiento financiero</t>
  </si>
  <si>
    <t>Ajustes Consolidacion presupuestaria</t>
  </si>
  <si>
    <t>Gastos financiados con fondos finalistas UE AAPP</t>
  </si>
  <si>
    <t>Gasto Computable</t>
  </si>
  <si>
    <t>Aumentos permanentes de recaudación</t>
  </si>
  <si>
    <t>( + )</t>
  </si>
  <si>
    <t>Reducciones permanentes de recaudación</t>
  </si>
  <si>
    <t>Gasto Comptable ajustado</t>
  </si>
  <si>
    <t>a</t>
  </si>
  <si>
    <t>% Variación del gasto computable</t>
  </si>
  <si>
    <t>b</t>
  </si>
  <si>
    <t>Tasa de referencia</t>
  </si>
  <si>
    <t>b-a</t>
  </si>
  <si>
    <t>Cumple con la RG b &gt; a</t>
  </si>
  <si>
    <t>El techo máximo de RG es de 2.365.119,95 euros. Todo gasto que se realice por encima de</t>
  </si>
  <si>
    <t>dicho máximo, requerirá la elaboración, aprobación e implementación de un PEF en los</t>
  </si>
  <si>
    <t>términos del artículo 21 LOEPSF</t>
  </si>
  <si>
    <t>Que cal fer</t>
  </si>
  <si>
    <t>SOLUCIÓ</t>
  </si>
  <si>
    <t>1.- Calcular si l'Entidad compleix amb l'Estabilidad Presupuestaria</t>
  </si>
  <si>
    <t xml:space="preserve">Ajustos en matèria d'Ingressos </t>
  </si>
  <si>
    <t>Ajustos en matèria de despeses</t>
  </si>
  <si>
    <t>2.- Calcular el  sostre màxim de despesa de l'exercici següent, sabent que RG es de 1,7%</t>
  </si>
  <si>
    <t>Pendiente de pago</t>
  </si>
  <si>
    <t>Recaudación neta</t>
  </si>
  <si>
    <t>Liquidación negativa PTME 2008: 45.000,00 (Importe reintegro anualidad)</t>
  </si>
  <si>
    <t>Liquidación negativa PTME 2009: 30.000,00 (Importe reintegro anualidad)</t>
  </si>
  <si>
    <t>Liquidación negativa PTME 2013: 4.500,00</t>
  </si>
  <si>
    <t>Liquidación positiva PTME 2014: 50.000,00</t>
  </si>
  <si>
    <t>Operaciones pendientes de aplicar al presupuesto</t>
  </si>
  <si>
    <t>Operaciones pendientes del ejercicio anterior (anterior a la liquidación que realizamos): 5.000</t>
  </si>
  <si>
    <t>Operaciones pendientes de aplicación del ejercicio corriente (155.000,00)</t>
  </si>
  <si>
    <t xml:space="preserve">de operaciones de crédito correpondiente al ejercicio anterior por importe de 500 euros. </t>
  </si>
  <si>
    <t xml:space="preserve">El ejercicio N+1 (ejercicio siguiente) se reconocerán 50,00 euros en concepto de intereses correspondientes </t>
  </si>
  <si>
    <t>Durante el ejercicio corriente se ha realizado una operación de arrendamiento financiero correspondiente en la siguiente operación</t>
  </si>
  <si>
    <t>Valor del arrendamiento (vehículo policía)</t>
  </si>
  <si>
    <t>Cuota anual (capital e intereses)</t>
  </si>
  <si>
    <t xml:space="preserve">EJERCICI ESTABILITAT PRESUPOSTARIA - 2 </t>
  </si>
  <si>
    <t>LIQUIDACIO</t>
  </si>
  <si>
    <t>DADES ADDICIONALS</t>
  </si>
  <si>
    <t>QUE HEM DE FER?</t>
  </si>
  <si>
    <t xml:space="preserve">1. Calcular si l'Entitat compleix amb el principi d'estabilitat pressupostaria </t>
  </si>
  <si>
    <t>En cas d'incompliment, indicar mesures</t>
  </si>
  <si>
    <t xml:space="preserve">2. Calcular el sostre màxim de despesa en l'exercici següent, sabent que la RG és de 2,7% </t>
  </si>
  <si>
    <t>Gasto del ejercicio (total)</t>
  </si>
  <si>
    <t>Gasto del ejercicio ya contemplado</t>
  </si>
  <si>
    <t>Positivo, aumenta gastos, y por tanto minra EP</t>
  </si>
  <si>
    <t>La entidad NO cumple con el principio de estabilidad presupuestaria, comentar medidas</t>
  </si>
  <si>
    <t>artículo 21 LOEPSF</t>
  </si>
  <si>
    <t>Suponiendo que todo el capítulo 3 son intereses</t>
  </si>
  <si>
    <t>El techo máximo de RG es de 8.264.782,50 euros. Todo gasto que se realice por encima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</si>
</sst>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4" xfId="0" applyBorder="1"/>
    <xf numFmtId="4" fontId="0" fillId="0" borderId="4" xfId="0" applyNumberFormat="1" applyFont="1" applyBorder="1" applyAlignment="1"/>
    <xf numFmtId="4" fontId="0" fillId="0" borderId="5" xfId="0" applyNumberFormat="1" applyFont="1" applyFill="1" applyBorder="1" applyAlignment="1"/>
    <xf numFmtId="4" fontId="0" fillId="0" borderId="4" xfId="0" applyNumberFormat="1" applyFont="1" applyFill="1" applyBorder="1" applyAlignment="1"/>
    <xf numFmtId="0" fontId="4" fillId="0" borderId="4" xfId="0" applyFont="1" applyBorder="1"/>
    <xf numFmtId="4" fontId="4" fillId="0" borderId="4" xfId="0" applyNumberFormat="1" applyFont="1" applyBorder="1" applyAlignment="1"/>
    <xf numFmtId="4" fontId="0" fillId="0" borderId="0" xfId="0" applyNumberFormat="1"/>
    <xf numFmtId="4" fontId="0" fillId="0" borderId="4" xfId="0" applyNumberFormat="1" applyFill="1" applyBorder="1"/>
    <xf numFmtId="4" fontId="0" fillId="0" borderId="4" xfId="0" applyNumberFormat="1" applyFont="1" applyFill="1" applyBorder="1"/>
    <xf numFmtId="4" fontId="4" fillId="0" borderId="4" xfId="0" applyNumberFormat="1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0" fillId="0" borderId="4" xfId="0" applyNumberFormat="1" applyBorder="1"/>
    <xf numFmtId="0" fontId="4" fillId="0" borderId="0" xfId="0" applyFont="1" applyFill="1" applyBorder="1"/>
    <xf numFmtId="0" fontId="0" fillId="0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4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4" fontId="4" fillId="2" borderId="8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4" fontId="4" fillId="4" borderId="11" xfId="0" applyNumberFormat="1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4" fontId="4" fillId="5" borderId="3" xfId="0" applyNumberFormat="1" applyFont="1" applyFill="1" applyBorder="1"/>
    <xf numFmtId="0" fontId="6" fillId="0" borderId="12" xfId="0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6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8" xfId="0" applyBorder="1"/>
    <xf numFmtId="4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5" xfId="0" applyBorder="1"/>
    <xf numFmtId="4" fontId="7" fillId="0" borderId="13" xfId="0" applyNumberFormat="1" applyFont="1" applyBorder="1" applyAlignment="1">
      <alignment vertical="center"/>
    </xf>
    <xf numFmtId="0" fontId="0" fillId="0" borderId="21" xfId="0" applyBorder="1"/>
    <xf numFmtId="0" fontId="7" fillId="0" borderId="22" xfId="0" applyFont="1" applyBorder="1" applyAlignment="1">
      <alignment vertical="center"/>
    </xf>
    <xf numFmtId="0" fontId="0" fillId="0" borderId="23" xfId="0" applyBorder="1"/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Border="1"/>
    <xf numFmtId="0" fontId="7" fillId="0" borderId="28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4" fontId="7" fillId="0" borderId="19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vertical="center"/>
    </xf>
    <xf numFmtId="4" fontId="6" fillId="6" borderId="32" xfId="0" applyNumberFormat="1" applyFont="1" applyFill="1" applyBorder="1" applyAlignment="1">
      <alignment vertical="center"/>
    </xf>
    <xf numFmtId="0" fontId="7" fillId="0" borderId="0" xfId="0" applyFont="1"/>
    <xf numFmtId="10" fontId="6" fillId="6" borderId="3" xfId="1" applyNumberFormat="1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4" fontId="4" fillId="0" borderId="3" xfId="0" applyNumberFormat="1" applyFont="1" applyBorder="1"/>
    <xf numFmtId="10" fontId="4" fillId="0" borderId="4" xfId="0" applyNumberFormat="1" applyFont="1" applyBorder="1"/>
    <xf numFmtId="4" fontId="4" fillId="0" borderId="4" xfId="0" applyNumberFormat="1" applyFont="1" applyBorder="1"/>
    <xf numFmtId="0" fontId="9" fillId="0" borderId="0" xfId="0" applyFont="1"/>
    <xf numFmtId="4" fontId="9" fillId="0" borderId="0" xfId="0" applyNumberFormat="1" applyFont="1"/>
    <xf numFmtId="0" fontId="2" fillId="3" borderId="1" xfId="0" applyFont="1" applyFill="1" applyBorder="1"/>
    <xf numFmtId="4" fontId="0" fillId="0" borderId="4" xfId="0" applyNumberFormat="1" applyBorder="1" applyAlignment="1"/>
    <xf numFmtId="4" fontId="0" fillId="0" borderId="4" xfId="0" applyNumberFormat="1" applyFill="1" applyBorder="1" applyAlignment="1"/>
    <xf numFmtId="4" fontId="0" fillId="7" borderId="4" xfId="0" applyNumberFormat="1" applyFill="1" applyBorder="1" applyAlignment="1"/>
    <xf numFmtId="0" fontId="4" fillId="0" borderId="0" xfId="0" applyFont="1" applyAlignment="1">
      <alignment horizontal="center" wrapText="1"/>
    </xf>
    <xf numFmtId="4" fontId="0" fillId="0" borderId="4" xfId="0" applyNumberFormat="1" applyFont="1" applyBorder="1"/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10" fillId="3" borderId="2" xfId="0" applyFont="1" applyFill="1" applyBorder="1"/>
    <xf numFmtId="0" fontId="10" fillId="3" borderId="3" xfId="0" applyFont="1" applyFill="1" applyBorder="1"/>
    <xf numFmtId="0" fontId="0" fillId="0" borderId="0" xfId="0" applyFont="1"/>
    <xf numFmtId="0" fontId="0" fillId="0" borderId="18" xfId="0" applyFont="1" applyBorder="1"/>
    <xf numFmtId="0" fontId="0" fillId="0" borderId="5" xfId="0" applyFont="1" applyBorder="1"/>
    <xf numFmtId="0" fontId="0" fillId="0" borderId="21" xfId="0" applyFont="1" applyBorder="1"/>
    <xf numFmtId="0" fontId="0" fillId="0" borderId="23" xfId="0" applyFont="1" applyBorder="1"/>
    <xf numFmtId="0" fontId="0" fillId="0" borderId="4" xfId="0" applyFont="1" applyBorder="1"/>
    <xf numFmtId="0" fontId="0" fillId="0" borderId="27" xfId="0" applyFont="1" applyBorder="1"/>
    <xf numFmtId="0" fontId="0" fillId="0" borderId="29" xfId="0" applyFont="1" applyBorder="1"/>
    <xf numFmtId="0" fontId="0" fillId="0" borderId="30" xfId="0" applyFont="1" applyBorder="1"/>
    <xf numFmtId="0" fontId="10" fillId="0" borderId="4" xfId="0" applyFont="1" applyBorder="1"/>
    <xf numFmtId="0" fontId="10" fillId="0" borderId="18" xfId="0" applyFont="1" applyBorder="1"/>
    <xf numFmtId="0" fontId="10" fillId="0" borderId="21" xfId="0" applyFont="1" applyBorder="1"/>
    <xf numFmtId="4" fontId="10" fillId="0" borderId="4" xfId="0" applyNumberFormat="1" applyFont="1" applyBorder="1"/>
    <xf numFmtId="0" fontId="10" fillId="0" borderId="5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34" xfId="0" applyFont="1" applyBorder="1"/>
    <xf numFmtId="0" fontId="10" fillId="0" borderId="2" xfId="0" applyFont="1" applyBorder="1"/>
    <xf numFmtId="0" fontId="4" fillId="2" borderId="0" xfId="0" applyFont="1" applyFill="1"/>
    <xf numFmtId="4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topLeftCell="A46" workbookViewId="0">
      <selection activeCell="B69" sqref="B69:G71"/>
    </sheetView>
  </sheetViews>
  <sheetFormatPr baseColWidth="10" defaultColWidth="10.140625" defaultRowHeight="15"/>
  <cols>
    <col min="2" max="2" width="12.42578125" customWidth="1"/>
    <col min="3" max="12" width="16" customWidth="1"/>
  </cols>
  <sheetData>
    <row r="1" spans="2:12" ht="15.75" thickBot="1"/>
    <row r="2" spans="2:12" ht="16.5" thickBot="1">
      <c r="B2" s="101" t="s">
        <v>41</v>
      </c>
      <c r="C2" s="102"/>
      <c r="D2" s="103"/>
    </row>
    <row r="5" spans="2:12" ht="15.75">
      <c r="B5" s="1" t="s">
        <v>42</v>
      </c>
      <c r="C5" s="1"/>
    </row>
    <row r="6" spans="2:12" ht="15.75">
      <c r="B6" s="1" t="s">
        <v>43</v>
      </c>
      <c r="C6" s="1"/>
    </row>
    <row r="8" spans="2:12" ht="63" customHeight="1"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</row>
    <row r="9" spans="2:12">
      <c r="B9" s="4">
        <v>1</v>
      </c>
      <c r="C9" s="5">
        <f>85091.71+202790.03+177628.44+11185.8</f>
        <v>476695.98</v>
      </c>
      <c r="D9" s="5">
        <v>0</v>
      </c>
      <c r="E9" s="5">
        <f>C9+D9</f>
        <v>476695.98</v>
      </c>
      <c r="F9" s="5">
        <f>E9</f>
        <v>476695.98</v>
      </c>
      <c r="G9" s="5">
        <f>F9</f>
        <v>476695.98</v>
      </c>
      <c r="H9" s="5">
        <f>85000+202000+177600+11185</f>
        <v>475785</v>
      </c>
      <c r="I9" s="5">
        <f>85000+202000+177600+11185</f>
        <v>475785</v>
      </c>
      <c r="J9" s="5">
        <f>85000+202000+177600+11185</f>
        <v>475785</v>
      </c>
      <c r="K9" s="5">
        <f>H9-I9</f>
        <v>0</v>
      </c>
      <c r="L9" s="5">
        <f>I9-J9</f>
        <v>0</v>
      </c>
    </row>
    <row r="10" spans="2:12">
      <c r="B10" s="4">
        <v>2</v>
      </c>
      <c r="C10" s="5">
        <f>3500+13600+12800</f>
        <v>29900</v>
      </c>
      <c r="D10" s="5">
        <v>0</v>
      </c>
      <c r="E10" s="5">
        <f t="shared" ref="E10:E17" si="0">C10+D10</f>
        <v>29900</v>
      </c>
      <c r="F10" s="5">
        <f>E10</f>
        <v>29900</v>
      </c>
      <c r="G10" s="5">
        <f>F10</f>
        <v>29900</v>
      </c>
      <c r="H10" s="5">
        <f>3000+13600+12000</f>
        <v>28600</v>
      </c>
      <c r="I10" s="5">
        <f>2500+13000+12000</f>
        <v>27500</v>
      </c>
      <c r="J10" s="5">
        <f>2500+10000+10000</f>
        <v>22500</v>
      </c>
      <c r="K10" s="5">
        <f t="shared" ref="K10:L17" si="1">H10-I10</f>
        <v>1100</v>
      </c>
      <c r="L10" s="5">
        <f t="shared" si="1"/>
        <v>5000</v>
      </c>
    </row>
    <row r="11" spans="2:12">
      <c r="B11" s="4">
        <v>3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6">
        <v>0</v>
      </c>
      <c r="I11" s="5">
        <v>0</v>
      </c>
      <c r="J11" s="5">
        <f>I11</f>
        <v>0</v>
      </c>
      <c r="K11" s="5">
        <f t="shared" si="1"/>
        <v>0</v>
      </c>
      <c r="L11" s="5">
        <f t="shared" si="1"/>
        <v>0</v>
      </c>
    </row>
    <row r="12" spans="2:12">
      <c r="B12" s="4">
        <v>4</v>
      </c>
      <c r="C12" s="5">
        <f>1547993.54+30000</f>
        <v>1577993.54</v>
      </c>
      <c r="D12" s="5">
        <v>0</v>
      </c>
      <c r="E12" s="5">
        <f t="shared" si="0"/>
        <v>1577993.54</v>
      </c>
      <c r="F12" s="5">
        <f>E12</f>
        <v>1577993.54</v>
      </c>
      <c r="G12" s="5">
        <f>F12</f>
        <v>1577993.54</v>
      </c>
      <c r="H12" s="5">
        <f>1547000+30000</f>
        <v>1577000</v>
      </c>
      <c r="I12" s="5">
        <f>1547000+30000</f>
        <v>1577000</v>
      </c>
      <c r="J12" s="5">
        <f>1540000+30000</f>
        <v>1570000</v>
      </c>
      <c r="K12" s="5">
        <f t="shared" si="1"/>
        <v>0</v>
      </c>
      <c r="L12" s="5">
        <f t="shared" si="1"/>
        <v>7000</v>
      </c>
    </row>
    <row r="13" spans="2:12">
      <c r="B13" s="4">
        <v>5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v>0</v>
      </c>
      <c r="I13" s="5">
        <v>0</v>
      </c>
      <c r="J13" s="5">
        <f>I13</f>
        <v>0</v>
      </c>
      <c r="K13" s="5">
        <f t="shared" si="1"/>
        <v>0</v>
      </c>
      <c r="L13" s="5">
        <f t="shared" si="1"/>
        <v>0</v>
      </c>
    </row>
    <row r="14" spans="2:12">
      <c r="B14" s="4">
        <v>6</v>
      </c>
      <c r="C14" s="7">
        <f>33100+4000+50000+13500+50000+60000+20000+15000+5000+40000</f>
        <v>290600</v>
      </c>
      <c r="D14" s="7">
        <f>15000+20000+50000</f>
        <v>85000</v>
      </c>
      <c r="E14" s="7">
        <f t="shared" si="0"/>
        <v>375600</v>
      </c>
      <c r="F14" s="7">
        <f>E14</f>
        <v>375600</v>
      </c>
      <c r="G14" s="7">
        <f>F14</f>
        <v>375600</v>
      </c>
      <c r="H14" s="7">
        <f>254200</f>
        <v>254200</v>
      </c>
      <c r="I14" s="7">
        <f>33000+4000+50000+13500+60000+3000+40000+29800</f>
        <v>233300</v>
      </c>
      <c r="J14" s="7">
        <f>50000+13500+60000+40000+29800</f>
        <v>193300</v>
      </c>
      <c r="K14" s="7">
        <f t="shared" si="1"/>
        <v>20900</v>
      </c>
      <c r="L14" s="7">
        <f t="shared" si="1"/>
        <v>40000</v>
      </c>
    </row>
    <row r="15" spans="2:12">
      <c r="B15" s="4">
        <v>7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v>0</v>
      </c>
      <c r="I15" s="7">
        <v>0</v>
      </c>
      <c r="J15" s="7">
        <f>I15</f>
        <v>0</v>
      </c>
      <c r="K15" s="7">
        <f t="shared" si="1"/>
        <v>0</v>
      </c>
      <c r="L15" s="7">
        <f t="shared" si="1"/>
        <v>0</v>
      </c>
    </row>
    <row r="16" spans="2:12">
      <c r="B16" s="4">
        <v>8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v>0</v>
      </c>
      <c r="I16" s="5">
        <v>0</v>
      </c>
      <c r="J16" s="5">
        <f>I16</f>
        <v>0</v>
      </c>
      <c r="K16" s="5">
        <f t="shared" si="1"/>
        <v>0</v>
      </c>
      <c r="L16" s="5">
        <f t="shared" si="1"/>
        <v>0</v>
      </c>
    </row>
    <row r="17" spans="2:12">
      <c r="B17" s="4">
        <v>9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v>0</v>
      </c>
      <c r="I17" s="5">
        <v>0</v>
      </c>
      <c r="J17" s="5">
        <f>I17</f>
        <v>0</v>
      </c>
      <c r="K17" s="5">
        <f t="shared" si="1"/>
        <v>0</v>
      </c>
      <c r="L17" s="5">
        <f t="shared" si="1"/>
        <v>0</v>
      </c>
    </row>
    <row r="18" spans="2:12" ht="15.75">
      <c r="B18" s="8" t="s">
        <v>11</v>
      </c>
      <c r="C18" s="9">
        <f>SUM(C9:C17)</f>
        <v>2375189.52</v>
      </c>
      <c r="D18" s="9">
        <f t="shared" ref="D18:K18" si="2">SUM(D9:D17)</f>
        <v>85000</v>
      </c>
      <c r="E18" s="9">
        <f t="shared" si="2"/>
        <v>2460189.52</v>
      </c>
      <c r="F18" s="9">
        <f t="shared" si="2"/>
        <v>2460189.52</v>
      </c>
      <c r="G18" s="9">
        <f>SUM(G9:G17)</f>
        <v>2460189.52</v>
      </c>
      <c r="H18" s="9">
        <f t="shared" si="2"/>
        <v>2335585</v>
      </c>
      <c r="I18" s="9">
        <f t="shared" si="2"/>
        <v>2313585</v>
      </c>
      <c r="J18" s="9">
        <f t="shared" si="2"/>
        <v>2261585</v>
      </c>
      <c r="K18" s="9">
        <f t="shared" si="2"/>
        <v>22000</v>
      </c>
      <c r="L18" s="9">
        <f>SUM(L9:L17)</f>
        <v>52000</v>
      </c>
    </row>
    <row r="20" spans="2:12">
      <c r="H20" s="10"/>
    </row>
    <row r="21" spans="2:12" ht="15.75">
      <c r="B21" s="1" t="s">
        <v>42</v>
      </c>
      <c r="C21" s="1"/>
    </row>
    <row r="22" spans="2:12" ht="15.75">
      <c r="B22" s="1" t="s">
        <v>44</v>
      </c>
      <c r="C22" s="1"/>
    </row>
    <row r="24" spans="2:12" ht="47.25">
      <c r="B24" s="8" t="s">
        <v>0</v>
      </c>
      <c r="C24" s="3" t="s">
        <v>12</v>
      </c>
      <c r="D24" s="3" t="s">
        <v>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</row>
    <row r="25" spans="2:12">
      <c r="B25" s="4">
        <v>1</v>
      </c>
      <c r="C25" s="11">
        <f>251300.5+188000+25484.55</f>
        <v>464785.05</v>
      </c>
      <c r="D25" s="12">
        <v>0</v>
      </c>
      <c r="E25" s="12">
        <f>C25+D25</f>
        <v>464785.05</v>
      </c>
      <c r="F25" s="12">
        <f>251300+188000+25484.55</f>
        <v>464784.55</v>
      </c>
      <c r="G25" s="12">
        <v>0</v>
      </c>
      <c r="H25" s="12">
        <f>8000</f>
        <v>8000</v>
      </c>
      <c r="I25" s="12">
        <f>F25-G25-H25</f>
        <v>456784.55</v>
      </c>
      <c r="J25" s="12">
        <f>247300+150000+21484.55</f>
        <v>418784.55</v>
      </c>
      <c r="K25" s="12">
        <f>I25-J25</f>
        <v>38000</v>
      </c>
    </row>
    <row r="26" spans="2:12">
      <c r="B26" s="4">
        <v>2</v>
      </c>
      <c r="C26" s="11">
        <v>150000</v>
      </c>
      <c r="D26" s="12">
        <v>0</v>
      </c>
      <c r="E26" s="12">
        <f t="shared" ref="E26:E32" si="3">C26+D26</f>
        <v>150000</v>
      </c>
      <c r="F26" s="12">
        <v>12000</v>
      </c>
      <c r="G26" s="12">
        <v>0</v>
      </c>
      <c r="H26" s="12">
        <v>2000</v>
      </c>
      <c r="I26" s="12">
        <f t="shared" ref="I26:I33" si="4">F26-G26-H26</f>
        <v>10000</v>
      </c>
      <c r="J26" s="12">
        <v>4000</v>
      </c>
      <c r="K26" s="12">
        <f t="shared" ref="K26:K33" si="5">I26-J26</f>
        <v>6000</v>
      </c>
    </row>
    <row r="27" spans="2:12">
      <c r="B27" s="4">
        <v>3</v>
      </c>
      <c r="C27" s="11">
        <f>146300+700+3000+29500+9000+2200+6000+0</f>
        <v>196700</v>
      </c>
      <c r="D27" s="12">
        <v>0</v>
      </c>
      <c r="E27" s="12">
        <f t="shared" si="3"/>
        <v>196700</v>
      </c>
      <c r="F27" s="12">
        <f>146000+500+500+22000+4500+1580+5700+1600</f>
        <v>182380</v>
      </c>
      <c r="G27" s="12">
        <v>0</v>
      </c>
      <c r="H27" s="12">
        <f>450</f>
        <v>450</v>
      </c>
      <c r="I27" s="12">
        <f t="shared" si="4"/>
        <v>181930</v>
      </c>
      <c r="J27" s="12">
        <f>135550+500+500+21000+4500+1580+5700+1600</f>
        <v>170930</v>
      </c>
      <c r="K27" s="12">
        <f t="shared" si="5"/>
        <v>11000</v>
      </c>
    </row>
    <row r="28" spans="2:12">
      <c r="B28" s="4">
        <v>4</v>
      </c>
      <c r="C28" s="11">
        <f>3000+2000+1587555+9000</f>
        <v>1601555</v>
      </c>
      <c r="D28" s="12">
        <v>0</v>
      </c>
      <c r="E28" s="12">
        <f t="shared" si="3"/>
        <v>1601555</v>
      </c>
      <c r="F28" s="12">
        <f>3000+1200+1545000+8500</f>
        <v>1557700</v>
      </c>
      <c r="G28" s="12">
        <v>0</v>
      </c>
      <c r="H28" s="12">
        <v>0</v>
      </c>
      <c r="I28" s="12">
        <f t="shared" si="4"/>
        <v>1557700</v>
      </c>
      <c r="J28" s="12">
        <f>3000+1200+1545000+7600</f>
        <v>1556800</v>
      </c>
      <c r="K28" s="12">
        <f t="shared" si="5"/>
        <v>900</v>
      </c>
    </row>
    <row r="29" spans="2:12">
      <c r="B29" s="4">
        <v>5</v>
      </c>
      <c r="C29" s="11">
        <v>27300</v>
      </c>
      <c r="D29" s="12">
        <v>0</v>
      </c>
      <c r="E29" s="12">
        <f t="shared" si="3"/>
        <v>27300</v>
      </c>
      <c r="F29" s="12">
        <f>26000+295</f>
        <v>26295</v>
      </c>
      <c r="G29" s="12">
        <v>0</v>
      </c>
      <c r="H29" s="12">
        <v>0</v>
      </c>
      <c r="I29" s="12">
        <f t="shared" si="4"/>
        <v>26295</v>
      </c>
      <c r="J29" s="12">
        <f>2000+295</f>
        <v>2295</v>
      </c>
      <c r="K29" s="12">
        <f t="shared" si="5"/>
        <v>24000</v>
      </c>
    </row>
    <row r="30" spans="2:12">
      <c r="B30" s="4">
        <v>6</v>
      </c>
      <c r="C30" s="11">
        <v>0</v>
      </c>
      <c r="D30" s="12">
        <v>15000</v>
      </c>
      <c r="E30" s="12">
        <f t="shared" si="3"/>
        <v>15000</v>
      </c>
      <c r="F30" s="12">
        <v>0</v>
      </c>
      <c r="G30" s="12">
        <v>0</v>
      </c>
      <c r="H30" s="12">
        <v>0</v>
      </c>
      <c r="I30" s="12">
        <f t="shared" si="4"/>
        <v>0</v>
      </c>
      <c r="J30" s="12">
        <v>0</v>
      </c>
      <c r="K30" s="12">
        <f t="shared" si="5"/>
        <v>0</v>
      </c>
    </row>
    <row r="31" spans="2:12">
      <c r="B31" s="4">
        <v>7</v>
      </c>
      <c r="C31" s="11">
        <v>0</v>
      </c>
      <c r="D31" s="12">
        <v>70000</v>
      </c>
      <c r="E31" s="12">
        <f t="shared" si="3"/>
        <v>70000</v>
      </c>
      <c r="F31" s="12">
        <v>85000</v>
      </c>
      <c r="G31" s="12">
        <v>0</v>
      </c>
      <c r="H31" s="12">
        <v>0</v>
      </c>
      <c r="I31" s="12">
        <f t="shared" si="4"/>
        <v>85000</v>
      </c>
      <c r="J31" s="12">
        <v>10000</v>
      </c>
      <c r="K31" s="12">
        <f t="shared" si="5"/>
        <v>75000</v>
      </c>
    </row>
    <row r="32" spans="2:12">
      <c r="B32" s="4">
        <v>8</v>
      </c>
      <c r="C32" s="11">
        <v>0</v>
      </c>
      <c r="D32" s="12">
        <v>0</v>
      </c>
      <c r="E32" s="12">
        <f t="shared" si="3"/>
        <v>0</v>
      </c>
      <c r="F32" s="12">
        <v>0</v>
      </c>
      <c r="G32" s="12">
        <v>0</v>
      </c>
      <c r="H32" s="12">
        <v>0</v>
      </c>
      <c r="I32" s="12">
        <f t="shared" si="4"/>
        <v>0</v>
      </c>
      <c r="J32" s="12">
        <v>0</v>
      </c>
      <c r="K32" s="12">
        <f t="shared" si="5"/>
        <v>0</v>
      </c>
    </row>
    <row r="33" spans="2:11">
      <c r="B33" s="4">
        <v>9</v>
      </c>
      <c r="C33" s="11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v>0</v>
      </c>
      <c r="I33" s="12">
        <f t="shared" si="4"/>
        <v>0</v>
      </c>
      <c r="J33" s="12">
        <v>0</v>
      </c>
      <c r="K33" s="12">
        <f t="shared" si="5"/>
        <v>0</v>
      </c>
    </row>
    <row r="34" spans="2:11" ht="15.75">
      <c r="B34" s="8" t="s">
        <v>11</v>
      </c>
      <c r="C34" s="13">
        <f>SUM(C25:C33)</f>
        <v>2440340.0499999998</v>
      </c>
      <c r="D34" s="13">
        <f t="shared" ref="D34:H34" si="6">SUM(D25:D33)</f>
        <v>85000</v>
      </c>
      <c r="E34" s="13">
        <f t="shared" si="6"/>
        <v>2525340.0499999998</v>
      </c>
      <c r="F34" s="13">
        <f t="shared" si="6"/>
        <v>2328159.5499999998</v>
      </c>
      <c r="G34" s="13">
        <f t="shared" si="6"/>
        <v>0</v>
      </c>
      <c r="H34" s="13">
        <f t="shared" si="6"/>
        <v>10450</v>
      </c>
      <c r="I34" s="13">
        <f>SUM(I25:I33)</f>
        <v>2317709.5499999998</v>
      </c>
      <c r="J34" s="13">
        <f>SUM(J25:J33)</f>
        <v>2162809.5499999998</v>
      </c>
      <c r="K34" s="13">
        <f>SUM(K25:K33)</f>
        <v>154900</v>
      </c>
    </row>
    <row r="36" spans="2:11" ht="15.75">
      <c r="B36" s="14" t="s">
        <v>45</v>
      </c>
    </row>
    <row r="38" spans="2:11" ht="15.75">
      <c r="B38" s="15" t="s">
        <v>46</v>
      </c>
    </row>
    <row r="39" spans="2:11" ht="15.75">
      <c r="C39" s="16"/>
      <c r="D39" s="16"/>
    </row>
    <row r="40" spans="2:11" ht="31.5">
      <c r="B40" s="15"/>
      <c r="C40" s="3" t="s">
        <v>22</v>
      </c>
      <c r="D40" s="3" t="s">
        <v>23</v>
      </c>
    </row>
    <row r="41" spans="2:11" ht="15.75">
      <c r="B41" s="8" t="s">
        <v>24</v>
      </c>
      <c r="C41" s="17">
        <v>150000</v>
      </c>
      <c r="D41" s="17">
        <v>90000</v>
      </c>
    </row>
    <row r="42" spans="2:11" ht="15.75">
      <c r="B42" s="8" t="s">
        <v>25</v>
      </c>
      <c r="C42" s="17">
        <v>56000</v>
      </c>
      <c r="D42" s="17">
        <v>45000</v>
      </c>
    </row>
    <row r="43" spans="2:11" ht="15.75">
      <c r="B43" s="8" t="s">
        <v>26</v>
      </c>
      <c r="C43" s="17">
        <v>80000</v>
      </c>
      <c r="D43" s="17">
        <v>10000</v>
      </c>
    </row>
    <row r="45" spans="2:11" ht="15.75">
      <c r="B45" s="18" t="s">
        <v>47</v>
      </c>
    </row>
    <row r="46" spans="2:11" ht="15.75">
      <c r="B46" s="18"/>
    </row>
    <row r="47" spans="2:11">
      <c r="B47" s="19" t="s">
        <v>28</v>
      </c>
    </row>
    <row r="48" spans="2:11">
      <c r="B48" s="19" t="s">
        <v>29</v>
      </c>
    </row>
    <row r="49" spans="2:2" ht="15.75">
      <c r="B49" s="18"/>
    </row>
    <row r="50" spans="2:2" ht="15.75">
      <c r="B50" s="18" t="s">
        <v>48</v>
      </c>
    </row>
    <row r="52" spans="2:2">
      <c r="B52" t="s">
        <v>31</v>
      </c>
    </row>
    <row r="53" spans="2:2">
      <c r="B53" t="s">
        <v>32</v>
      </c>
    </row>
    <row r="55" spans="2:2" ht="15.75">
      <c r="B55" s="15" t="s">
        <v>49</v>
      </c>
    </row>
    <row r="57" spans="2:2">
      <c r="B57" t="s">
        <v>34</v>
      </c>
    </row>
    <row r="58" spans="2:2">
      <c r="B58" t="s">
        <v>35</v>
      </c>
    </row>
    <row r="59" spans="2:2">
      <c r="B59" t="s">
        <v>36</v>
      </c>
    </row>
    <row r="60" spans="2:2">
      <c r="B60" t="s">
        <v>37</v>
      </c>
    </row>
    <row r="62" spans="2:2">
      <c r="B62" t="s">
        <v>38</v>
      </c>
    </row>
    <row r="63" spans="2:2">
      <c r="B63" t="s">
        <v>39</v>
      </c>
    </row>
    <row r="67" spans="2:2" ht="15.75">
      <c r="B67" s="15" t="s">
        <v>50</v>
      </c>
    </row>
    <row r="69" spans="2:2">
      <c r="B69" t="s">
        <v>51</v>
      </c>
    </row>
    <row r="70" spans="2:2">
      <c r="B70" t="s">
        <v>52</v>
      </c>
    </row>
    <row r="71" spans="2:2">
      <c r="B71" t="s">
        <v>53</v>
      </c>
    </row>
  </sheetData>
  <mergeCells count="1">
    <mergeCell ref="B2:D2"/>
  </mergeCells>
  <pageMargins left="0.25" right="0.25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8"/>
  <sheetViews>
    <sheetView topLeftCell="A145" workbookViewId="0">
      <selection activeCell="A74" sqref="A74:I179"/>
    </sheetView>
  </sheetViews>
  <sheetFormatPr baseColWidth="10" defaultColWidth="10.140625" defaultRowHeight="15"/>
  <cols>
    <col min="2" max="2" width="13.85546875" customWidth="1"/>
    <col min="3" max="12" width="16" customWidth="1"/>
  </cols>
  <sheetData>
    <row r="1" spans="2:12" ht="15.75" thickBot="1"/>
    <row r="2" spans="2:12" ht="16.5" thickBot="1">
      <c r="B2" s="101" t="s">
        <v>41</v>
      </c>
      <c r="C2" s="102"/>
      <c r="D2" s="103"/>
    </row>
    <row r="5" spans="2:12" ht="15.75">
      <c r="B5" s="1" t="s">
        <v>42</v>
      </c>
      <c r="C5" s="1"/>
    </row>
    <row r="6" spans="2:12" ht="15.75">
      <c r="B6" s="1" t="s">
        <v>43</v>
      </c>
      <c r="C6" s="1"/>
    </row>
    <row r="8" spans="2:12" ht="63" customHeight="1"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</row>
    <row r="9" spans="2:12">
      <c r="B9" s="4">
        <v>1</v>
      </c>
      <c r="C9" s="5">
        <f>85091.71+202790.03+177628.44+11185.8</f>
        <v>476695.98</v>
      </c>
      <c r="D9" s="5">
        <v>0</v>
      </c>
      <c r="E9" s="5">
        <f>C9+D9</f>
        <v>476695.98</v>
      </c>
      <c r="F9" s="5">
        <f>E9</f>
        <v>476695.98</v>
      </c>
      <c r="G9" s="5">
        <f>F9</f>
        <v>476695.98</v>
      </c>
      <c r="H9" s="5">
        <f>85000+202000+177600+11185</f>
        <v>475785</v>
      </c>
      <c r="I9" s="5">
        <f>85000+202000+177600+11185</f>
        <v>475785</v>
      </c>
      <c r="J9" s="5">
        <f>85000+202000+177600+11185</f>
        <v>475785</v>
      </c>
      <c r="K9" s="5">
        <f>H9-I9</f>
        <v>0</v>
      </c>
      <c r="L9" s="5">
        <f>I9-J9</f>
        <v>0</v>
      </c>
    </row>
    <row r="10" spans="2:12">
      <c r="B10" s="4">
        <v>2</v>
      </c>
      <c r="C10" s="5">
        <f>3500+13600+12800</f>
        <v>29900</v>
      </c>
      <c r="D10" s="5">
        <v>0</v>
      </c>
      <c r="E10" s="5">
        <f t="shared" ref="E10:E17" si="0">C10+D10</f>
        <v>29900</v>
      </c>
      <c r="F10" s="5">
        <f>E10</f>
        <v>29900</v>
      </c>
      <c r="G10" s="5">
        <f>F10</f>
        <v>29900</v>
      </c>
      <c r="H10" s="5">
        <f>3000+13600+12000</f>
        <v>28600</v>
      </c>
      <c r="I10" s="5">
        <f>2500+13000+12000</f>
        <v>27500</v>
      </c>
      <c r="J10" s="5">
        <f>2500+10000+10000</f>
        <v>22500</v>
      </c>
      <c r="K10" s="5">
        <f t="shared" ref="K10:L17" si="1">H10-I10</f>
        <v>1100</v>
      </c>
      <c r="L10" s="5">
        <f t="shared" si="1"/>
        <v>5000</v>
      </c>
    </row>
    <row r="11" spans="2:12">
      <c r="B11" s="4">
        <v>3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6">
        <v>0</v>
      </c>
      <c r="I11" s="5">
        <v>0</v>
      </c>
      <c r="J11" s="5">
        <f>I11</f>
        <v>0</v>
      </c>
      <c r="K11" s="5">
        <f t="shared" si="1"/>
        <v>0</v>
      </c>
      <c r="L11" s="5">
        <f t="shared" si="1"/>
        <v>0</v>
      </c>
    </row>
    <row r="12" spans="2:12">
      <c r="B12" s="4">
        <v>4</v>
      </c>
      <c r="C12" s="5">
        <f>1547993.54+30000</f>
        <v>1577993.54</v>
      </c>
      <c r="D12" s="5">
        <v>0</v>
      </c>
      <c r="E12" s="5">
        <f t="shared" si="0"/>
        <v>1577993.54</v>
      </c>
      <c r="F12" s="5">
        <f>E12</f>
        <v>1577993.54</v>
      </c>
      <c r="G12" s="5">
        <f>F12</f>
        <v>1577993.54</v>
      </c>
      <c r="H12" s="5">
        <f>1547000+30000</f>
        <v>1577000</v>
      </c>
      <c r="I12" s="5">
        <f>1547000+30000</f>
        <v>1577000</v>
      </c>
      <c r="J12" s="5">
        <f>1540000+30000</f>
        <v>1570000</v>
      </c>
      <c r="K12" s="5">
        <f t="shared" si="1"/>
        <v>0</v>
      </c>
      <c r="L12" s="5">
        <f t="shared" si="1"/>
        <v>7000</v>
      </c>
    </row>
    <row r="13" spans="2:12">
      <c r="B13" s="4">
        <v>5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v>0</v>
      </c>
      <c r="I13" s="5">
        <v>0</v>
      </c>
      <c r="J13" s="5">
        <f>I13</f>
        <v>0</v>
      </c>
      <c r="K13" s="5">
        <f t="shared" si="1"/>
        <v>0</v>
      </c>
      <c r="L13" s="5">
        <f t="shared" si="1"/>
        <v>0</v>
      </c>
    </row>
    <row r="14" spans="2:12">
      <c r="B14" s="4">
        <v>6</v>
      </c>
      <c r="C14" s="7">
        <f>33100+4000+50000+13500+50000+60000+20000+15000+5000+40000</f>
        <v>290600</v>
      </c>
      <c r="D14" s="7">
        <f>15000+20000+50000</f>
        <v>85000</v>
      </c>
      <c r="E14" s="7">
        <f t="shared" si="0"/>
        <v>375600</v>
      </c>
      <c r="F14" s="7">
        <f>E14</f>
        <v>375600</v>
      </c>
      <c r="G14" s="7">
        <f>F14</f>
        <v>375600</v>
      </c>
      <c r="H14" s="7">
        <f>254200</f>
        <v>254200</v>
      </c>
      <c r="I14" s="7">
        <f>33000+4000+50000+13500+60000+3000+40000+29800</f>
        <v>233300</v>
      </c>
      <c r="J14" s="7">
        <f>50000+13500+60000+40000+29800</f>
        <v>193300</v>
      </c>
      <c r="K14" s="7">
        <f t="shared" si="1"/>
        <v>20900</v>
      </c>
      <c r="L14" s="7">
        <f t="shared" si="1"/>
        <v>40000</v>
      </c>
    </row>
    <row r="15" spans="2:12">
      <c r="B15" s="4">
        <v>7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v>0</v>
      </c>
      <c r="I15" s="7">
        <v>0</v>
      </c>
      <c r="J15" s="7">
        <f>I15</f>
        <v>0</v>
      </c>
      <c r="K15" s="7">
        <f t="shared" si="1"/>
        <v>0</v>
      </c>
      <c r="L15" s="7">
        <f t="shared" si="1"/>
        <v>0</v>
      </c>
    </row>
    <row r="16" spans="2:12">
      <c r="B16" s="4">
        <v>8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v>0</v>
      </c>
      <c r="I16" s="5">
        <v>0</v>
      </c>
      <c r="J16" s="5">
        <f>I16</f>
        <v>0</v>
      </c>
      <c r="K16" s="5">
        <f t="shared" si="1"/>
        <v>0</v>
      </c>
      <c r="L16" s="5">
        <f t="shared" si="1"/>
        <v>0</v>
      </c>
    </row>
    <row r="17" spans="2:12">
      <c r="B17" s="4">
        <v>9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v>0</v>
      </c>
      <c r="I17" s="5">
        <v>0</v>
      </c>
      <c r="J17" s="5">
        <f>I17</f>
        <v>0</v>
      </c>
      <c r="K17" s="5">
        <f t="shared" si="1"/>
        <v>0</v>
      </c>
      <c r="L17" s="5">
        <f t="shared" si="1"/>
        <v>0</v>
      </c>
    </row>
    <row r="18" spans="2:12" ht="15.75">
      <c r="B18" s="8" t="s">
        <v>11</v>
      </c>
      <c r="C18" s="9">
        <f>SUM(C9:C17)</f>
        <v>2375189.52</v>
      </c>
      <c r="D18" s="9">
        <f t="shared" ref="D18:K18" si="2">SUM(D9:D17)</f>
        <v>85000</v>
      </c>
      <c r="E18" s="9">
        <f t="shared" si="2"/>
        <v>2460189.52</v>
      </c>
      <c r="F18" s="9">
        <f t="shared" si="2"/>
        <v>2460189.52</v>
      </c>
      <c r="G18" s="9">
        <f>SUM(G9:G17)</f>
        <v>2460189.52</v>
      </c>
      <c r="H18" s="9">
        <f t="shared" si="2"/>
        <v>2335585</v>
      </c>
      <c r="I18" s="9">
        <f t="shared" si="2"/>
        <v>2313585</v>
      </c>
      <c r="J18" s="9">
        <f t="shared" si="2"/>
        <v>2261585</v>
      </c>
      <c r="K18" s="9">
        <f t="shared" si="2"/>
        <v>22000</v>
      </c>
      <c r="L18" s="9">
        <f>SUM(L9:L17)</f>
        <v>52000</v>
      </c>
    </row>
    <row r="20" spans="2:12">
      <c r="H20" s="10"/>
    </row>
    <row r="21" spans="2:12" ht="15.75">
      <c r="B21" s="1" t="s">
        <v>42</v>
      </c>
      <c r="C21" s="1"/>
    </row>
    <row r="22" spans="2:12" ht="15.75">
      <c r="B22" s="1" t="s">
        <v>44</v>
      </c>
      <c r="C22" s="1"/>
    </row>
    <row r="24" spans="2:12" ht="47.25">
      <c r="B24" s="8" t="s">
        <v>0</v>
      </c>
      <c r="C24" s="3" t="s">
        <v>12</v>
      </c>
      <c r="D24" s="3" t="s">
        <v>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</row>
    <row r="25" spans="2:12">
      <c r="B25" s="4">
        <v>1</v>
      </c>
      <c r="C25" s="11">
        <f>251300.5+188000+25484.55</f>
        <v>464785.05</v>
      </c>
      <c r="D25" s="12">
        <v>0</v>
      </c>
      <c r="E25" s="12">
        <f>C25+D25</f>
        <v>464785.05</v>
      </c>
      <c r="F25" s="12">
        <f>251300+188000+25484.55</f>
        <v>464784.55</v>
      </c>
      <c r="G25" s="12">
        <v>0</v>
      </c>
      <c r="H25" s="12">
        <f>8000</f>
        <v>8000</v>
      </c>
      <c r="I25" s="12">
        <f>F25-G25-H25</f>
        <v>456784.55</v>
      </c>
      <c r="J25" s="12">
        <f>247300+150000+21484.55</f>
        <v>418784.55</v>
      </c>
      <c r="K25" s="12">
        <f>I25-J25</f>
        <v>38000</v>
      </c>
    </row>
    <row r="26" spans="2:12">
      <c r="B26" s="4">
        <v>2</v>
      </c>
      <c r="C26" s="11">
        <v>150000</v>
      </c>
      <c r="D26" s="12">
        <v>0</v>
      </c>
      <c r="E26" s="12">
        <f t="shared" ref="E26:E32" si="3">C26+D26</f>
        <v>150000</v>
      </c>
      <c r="F26" s="12">
        <v>12000</v>
      </c>
      <c r="G26" s="12">
        <v>0</v>
      </c>
      <c r="H26" s="12">
        <v>2000</v>
      </c>
      <c r="I26" s="12">
        <f t="shared" ref="I26:I33" si="4">F26-G26-H26</f>
        <v>10000</v>
      </c>
      <c r="J26" s="12">
        <v>4000</v>
      </c>
      <c r="K26" s="12">
        <f t="shared" ref="K26:K33" si="5">I26-J26</f>
        <v>6000</v>
      </c>
    </row>
    <row r="27" spans="2:12">
      <c r="B27" s="4">
        <v>3</v>
      </c>
      <c r="C27" s="11">
        <f>146300+700+3000+29500+9000+2200+6000+0</f>
        <v>196700</v>
      </c>
      <c r="D27" s="12">
        <v>0</v>
      </c>
      <c r="E27" s="12">
        <f t="shared" si="3"/>
        <v>196700</v>
      </c>
      <c r="F27" s="12">
        <f>146000+500+500+22000+4500+1580+5700+1600</f>
        <v>182380</v>
      </c>
      <c r="G27" s="12">
        <v>0</v>
      </c>
      <c r="H27" s="12">
        <f>450</f>
        <v>450</v>
      </c>
      <c r="I27" s="12">
        <f t="shared" si="4"/>
        <v>181930</v>
      </c>
      <c r="J27" s="12">
        <f>135550+500+500+21000+4500+1580+5700+1600</f>
        <v>170930</v>
      </c>
      <c r="K27" s="12">
        <f t="shared" si="5"/>
        <v>11000</v>
      </c>
    </row>
    <row r="28" spans="2:12">
      <c r="B28" s="4">
        <v>4</v>
      </c>
      <c r="C28" s="11">
        <f>3000+2000+1587555+9000</f>
        <v>1601555</v>
      </c>
      <c r="D28" s="12">
        <v>0</v>
      </c>
      <c r="E28" s="12">
        <f t="shared" si="3"/>
        <v>1601555</v>
      </c>
      <c r="F28" s="12">
        <f>3000+1200+1545000+8500</f>
        <v>1557700</v>
      </c>
      <c r="G28" s="12">
        <v>0</v>
      </c>
      <c r="H28" s="12">
        <v>0</v>
      </c>
      <c r="I28" s="12">
        <f t="shared" si="4"/>
        <v>1557700</v>
      </c>
      <c r="J28" s="12">
        <f>3000+1200+1545000+7600</f>
        <v>1556800</v>
      </c>
      <c r="K28" s="12">
        <f t="shared" si="5"/>
        <v>900</v>
      </c>
    </row>
    <row r="29" spans="2:12">
      <c r="B29" s="4">
        <v>5</v>
      </c>
      <c r="C29" s="11">
        <v>27300</v>
      </c>
      <c r="D29" s="12">
        <v>0</v>
      </c>
      <c r="E29" s="12">
        <f t="shared" si="3"/>
        <v>27300</v>
      </c>
      <c r="F29" s="12">
        <f>26000+295</f>
        <v>26295</v>
      </c>
      <c r="G29" s="12">
        <v>0</v>
      </c>
      <c r="H29" s="12">
        <v>0</v>
      </c>
      <c r="I29" s="12">
        <f t="shared" si="4"/>
        <v>26295</v>
      </c>
      <c r="J29" s="12">
        <f>2000+295</f>
        <v>2295</v>
      </c>
      <c r="K29" s="12">
        <f t="shared" si="5"/>
        <v>24000</v>
      </c>
    </row>
    <row r="30" spans="2:12">
      <c r="B30" s="4">
        <v>6</v>
      </c>
      <c r="C30" s="11">
        <v>0</v>
      </c>
      <c r="D30" s="12">
        <v>15000</v>
      </c>
      <c r="E30" s="12">
        <f t="shared" si="3"/>
        <v>15000</v>
      </c>
      <c r="F30" s="12">
        <v>0</v>
      </c>
      <c r="G30" s="12">
        <v>0</v>
      </c>
      <c r="H30" s="12">
        <v>0</v>
      </c>
      <c r="I30" s="12">
        <f t="shared" si="4"/>
        <v>0</v>
      </c>
      <c r="J30" s="12">
        <v>0</v>
      </c>
      <c r="K30" s="12">
        <f t="shared" si="5"/>
        <v>0</v>
      </c>
    </row>
    <row r="31" spans="2:12">
      <c r="B31" s="4">
        <v>7</v>
      </c>
      <c r="C31" s="11">
        <v>0</v>
      </c>
      <c r="D31" s="12">
        <v>70000</v>
      </c>
      <c r="E31" s="12">
        <f t="shared" si="3"/>
        <v>70000</v>
      </c>
      <c r="F31" s="12">
        <v>85000</v>
      </c>
      <c r="G31" s="12">
        <v>0</v>
      </c>
      <c r="H31" s="12">
        <v>0</v>
      </c>
      <c r="I31" s="12">
        <f t="shared" si="4"/>
        <v>85000</v>
      </c>
      <c r="J31" s="12">
        <v>10000</v>
      </c>
      <c r="K31" s="12">
        <f t="shared" si="5"/>
        <v>75000</v>
      </c>
    </row>
    <row r="32" spans="2:12">
      <c r="B32" s="4">
        <v>8</v>
      </c>
      <c r="C32" s="11">
        <v>0</v>
      </c>
      <c r="D32" s="12">
        <v>0</v>
      </c>
      <c r="E32" s="12">
        <f t="shared" si="3"/>
        <v>0</v>
      </c>
      <c r="F32" s="12">
        <v>0</v>
      </c>
      <c r="G32" s="12">
        <v>0</v>
      </c>
      <c r="H32" s="12">
        <v>0</v>
      </c>
      <c r="I32" s="12">
        <f t="shared" si="4"/>
        <v>0</v>
      </c>
      <c r="J32" s="12">
        <v>0</v>
      </c>
      <c r="K32" s="12">
        <f t="shared" si="5"/>
        <v>0</v>
      </c>
    </row>
    <row r="33" spans="2:11">
      <c r="B33" s="4">
        <v>9</v>
      </c>
      <c r="C33" s="11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v>0</v>
      </c>
      <c r="I33" s="12">
        <f t="shared" si="4"/>
        <v>0</v>
      </c>
      <c r="J33" s="12">
        <v>0</v>
      </c>
      <c r="K33" s="12">
        <f t="shared" si="5"/>
        <v>0</v>
      </c>
    </row>
    <row r="34" spans="2:11" ht="15.75">
      <c r="B34" s="8" t="s">
        <v>11</v>
      </c>
      <c r="C34" s="13">
        <f>SUM(C25:C33)</f>
        <v>2440340.0499999998</v>
      </c>
      <c r="D34" s="13">
        <f t="shared" ref="D34:H34" si="6">SUM(D25:D33)</f>
        <v>85000</v>
      </c>
      <c r="E34" s="13">
        <f t="shared" si="6"/>
        <v>2525340.0499999998</v>
      </c>
      <c r="F34" s="13">
        <f t="shared" si="6"/>
        <v>2328159.5499999998</v>
      </c>
      <c r="G34" s="13">
        <f t="shared" si="6"/>
        <v>0</v>
      </c>
      <c r="H34" s="13">
        <f t="shared" si="6"/>
        <v>10450</v>
      </c>
      <c r="I34" s="13">
        <f>SUM(I25:I33)</f>
        <v>2317709.5499999998</v>
      </c>
      <c r="J34" s="13">
        <f>SUM(J25:J33)</f>
        <v>2162809.5499999998</v>
      </c>
      <c r="K34" s="13">
        <f>SUM(K25:K33)</f>
        <v>154900</v>
      </c>
    </row>
    <row r="36" spans="2:11" ht="15.75">
      <c r="B36" s="14" t="s">
        <v>20</v>
      </c>
    </row>
    <row r="38" spans="2:11" ht="15.75">
      <c r="B38" s="15" t="s">
        <v>21</v>
      </c>
    </row>
    <row r="39" spans="2:11" ht="15.75">
      <c r="C39" s="16"/>
      <c r="D39" s="16"/>
    </row>
    <row r="40" spans="2:11" ht="31.5">
      <c r="B40" s="15"/>
      <c r="C40" s="3" t="s">
        <v>22</v>
      </c>
      <c r="D40" s="3" t="s">
        <v>23</v>
      </c>
    </row>
    <row r="41" spans="2:11" ht="15.75">
      <c r="B41" s="8" t="s">
        <v>24</v>
      </c>
      <c r="C41" s="17">
        <v>150000</v>
      </c>
      <c r="D41" s="17">
        <v>90000</v>
      </c>
    </row>
    <row r="42" spans="2:11" ht="15.75">
      <c r="B42" s="8" t="s">
        <v>25</v>
      </c>
      <c r="C42" s="17">
        <v>56000</v>
      </c>
      <c r="D42" s="17">
        <v>45000</v>
      </c>
    </row>
    <row r="43" spans="2:11" ht="15.75">
      <c r="B43" s="8" t="s">
        <v>26</v>
      </c>
      <c r="C43" s="17">
        <v>80000</v>
      </c>
      <c r="D43" s="17">
        <v>10000</v>
      </c>
    </row>
    <row r="45" spans="2:11" ht="15.75">
      <c r="B45" s="18" t="s">
        <v>27</v>
      </c>
    </row>
    <row r="46" spans="2:11" ht="15.75">
      <c r="B46" s="18"/>
    </row>
    <row r="47" spans="2:11">
      <c r="B47" s="19" t="s">
        <v>28</v>
      </c>
    </row>
    <row r="48" spans="2:11">
      <c r="B48" s="19" t="s">
        <v>29</v>
      </c>
    </row>
    <row r="49" spans="2:2" ht="15.75">
      <c r="B49" s="18"/>
    </row>
    <row r="50" spans="2:2" ht="15.75">
      <c r="B50" s="18" t="s">
        <v>30</v>
      </c>
    </row>
    <row r="52" spans="2:2">
      <c r="B52" t="s">
        <v>31</v>
      </c>
    </row>
    <row r="53" spans="2:2">
      <c r="B53" t="s">
        <v>32</v>
      </c>
    </row>
    <row r="55" spans="2:2" ht="15.75">
      <c r="B55" s="15" t="s">
        <v>33</v>
      </c>
    </row>
    <row r="57" spans="2:2">
      <c r="B57" t="s">
        <v>34</v>
      </c>
    </row>
    <row r="58" spans="2:2">
      <c r="B58" t="s">
        <v>35</v>
      </c>
    </row>
    <row r="59" spans="2:2">
      <c r="B59" t="s">
        <v>36</v>
      </c>
    </row>
    <row r="60" spans="2:2">
      <c r="B60" t="s">
        <v>37</v>
      </c>
    </row>
    <row r="62" spans="2:2">
      <c r="B62" t="s">
        <v>38</v>
      </c>
    </row>
    <row r="63" spans="2:2">
      <c r="B63" t="s">
        <v>39</v>
      </c>
    </row>
    <row r="67" spans="2:6" ht="15.75">
      <c r="B67" s="15" t="s">
        <v>141</v>
      </c>
    </row>
    <row r="69" spans="2:6">
      <c r="B69" t="s">
        <v>51</v>
      </c>
    </row>
    <row r="70" spans="2:6">
      <c r="B70" t="s">
        <v>52</v>
      </c>
    </row>
    <row r="71" spans="2:6">
      <c r="B71" t="s">
        <v>53</v>
      </c>
    </row>
    <row r="74" spans="2:6" ht="15.75">
      <c r="B74" s="1" t="s">
        <v>142</v>
      </c>
    </row>
    <row r="75" spans="2:6" ht="15.75">
      <c r="B75" s="1"/>
    </row>
    <row r="76" spans="2:6" ht="15.75">
      <c r="B76" s="15" t="s">
        <v>143</v>
      </c>
      <c r="C76" s="15"/>
      <c r="D76" s="15"/>
      <c r="E76" s="15"/>
      <c r="F76" s="15"/>
    </row>
    <row r="77" spans="2:6" ht="15.75">
      <c r="B77" s="15"/>
      <c r="C77" s="15"/>
      <c r="D77" s="15"/>
      <c r="E77" s="15"/>
      <c r="F77" s="15"/>
    </row>
    <row r="79" spans="2:6">
      <c r="B79" t="s">
        <v>56</v>
      </c>
      <c r="C79" s="10">
        <f>SUM(I25:I31)</f>
        <v>2317709.5499999998</v>
      </c>
    </row>
    <row r="80" spans="2:6">
      <c r="B80" t="s">
        <v>57</v>
      </c>
      <c r="C80" s="10">
        <f>SUM(H9:H15)</f>
        <v>2335585</v>
      </c>
    </row>
    <row r="82" spans="2:8">
      <c r="B82" s="68" t="s">
        <v>58</v>
      </c>
      <c r="C82" s="68"/>
      <c r="D82" s="68"/>
      <c r="E82" s="69">
        <f>C79-C80</f>
        <v>-17875.450000000186</v>
      </c>
    </row>
    <row r="84" spans="2:8" ht="15.75">
      <c r="B84" s="15" t="s">
        <v>59</v>
      </c>
    </row>
    <row r="85" spans="2:8" ht="15.75" thickBot="1"/>
    <row r="86" spans="2:8" ht="16.5" thickBot="1">
      <c r="B86" s="20" t="s">
        <v>144</v>
      </c>
      <c r="C86" s="21"/>
      <c r="D86" s="22"/>
      <c r="F86" s="70" t="s">
        <v>145</v>
      </c>
      <c r="G86" s="23"/>
      <c r="H86" s="24"/>
    </row>
    <row r="88" spans="2:8" ht="15.75">
      <c r="B88" s="15" t="s">
        <v>62</v>
      </c>
      <c r="F88" s="15" t="s">
        <v>63</v>
      </c>
    </row>
    <row r="89" spans="2:8">
      <c r="B89" t="s">
        <v>64</v>
      </c>
      <c r="F89" t="s">
        <v>64</v>
      </c>
    </row>
    <row r="91" spans="2:8">
      <c r="B91" t="s">
        <v>65</v>
      </c>
      <c r="C91" s="10">
        <f>SUM(I25:I27)</f>
        <v>648714.55000000005</v>
      </c>
      <c r="F91" t="s">
        <v>66</v>
      </c>
      <c r="H91" s="10">
        <f>75000</f>
        <v>75000</v>
      </c>
    </row>
    <row r="92" spans="2:8">
      <c r="B92" t="s">
        <v>67</v>
      </c>
      <c r="C92" s="10">
        <f>SUM(J25:J27)</f>
        <v>593714.55000000005</v>
      </c>
      <c r="F92" t="s">
        <v>68</v>
      </c>
      <c r="H92" s="10">
        <v>115000</v>
      </c>
    </row>
    <row r="93" spans="2:8">
      <c r="B93" t="s">
        <v>69</v>
      </c>
      <c r="C93" s="10">
        <f>SUM(D41:D43)</f>
        <v>145000</v>
      </c>
      <c r="H93" s="10"/>
    </row>
    <row r="94" spans="2:8" ht="15.75">
      <c r="F94" t="s">
        <v>70</v>
      </c>
      <c r="H94" s="25">
        <f>-H91+H92</f>
        <v>40000</v>
      </c>
    </row>
    <row r="95" spans="2:8" ht="15.75">
      <c r="B95" t="s">
        <v>70</v>
      </c>
      <c r="C95" s="25">
        <f>-C91+C92+C93</f>
        <v>90000</v>
      </c>
      <c r="F95" t="s">
        <v>71</v>
      </c>
    </row>
    <row r="96" spans="2:8">
      <c r="B96" t="s">
        <v>72</v>
      </c>
    </row>
    <row r="97" spans="2:8" ht="15.75">
      <c r="F97" s="15" t="s">
        <v>73</v>
      </c>
    </row>
    <row r="98" spans="2:8">
      <c r="F98" t="s">
        <v>64</v>
      </c>
    </row>
    <row r="99" spans="2:8" ht="15.75">
      <c r="B99" s="15" t="s">
        <v>74</v>
      </c>
    </row>
    <row r="100" spans="2:8">
      <c r="B100" t="s">
        <v>64</v>
      </c>
      <c r="F100" t="s">
        <v>75</v>
      </c>
      <c r="H100">
        <v>1500</v>
      </c>
    </row>
    <row r="101" spans="2:8">
      <c r="F101" t="s">
        <v>76</v>
      </c>
      <c r="H101">
        <v>750</v>
      </c>
    </row>
    <row r="102" spans="2:8" ht="15.75">
      <c r="B102" t="s">
        <v>77</v>
      </c>
      <c r="C102" s="25">
        <f>50000+80000</f>
        <v>130000</v>
      </c>
    </row>
    <row r="103" spans="2:8" ht="15.75">
      <c r="B103" t="s">
        <v>72</v>
      </c>
      <c r="F103" t="s">
        <v>70</v>
      </c>
      <c r="H103" s="25">
        <f>-H100+H101</f>
        <v>-750</v>
      </c>
    </row>
    <row r="104" spans="2:8">
      <c r="F104" t="s">
        <v>78</v>
      </c>
    </row>
    <row r="106" spans="2:8" ht="15.75">
      <c r="F106" s="15" t="s">
        <v>79</v>
      </c>
    </row>
    <row r="107" spans="2:8">
      <c r="F107" t="s">
        <v>64</v>
      </c>
    </row>
    <row r="109" spans="2:8">
      <c r="F109" t="s">
        <v>80</v>
      </c>
      <c r="H109" s="10">
        <v>-50000</v>
      </c>
    </row>
    <row r="111" spans="2:8" ht="15.75">
      <c r="F111" t="s">
        <v>70</v>
      </c>
      <c r="H111" s="25">
        <f>H109</f>
        <v>-50000</v>
      </c>
    </row>
    <row r="112" spans="2:8">
      <c r="F112" t="s">
        <v>78</v>
      </c>
    </row>
    <row r="113" spans="2:8" ht="15.75" thickBot="1"/>
    <row r="114" spans="2:8" ht="15.75">
      <c r="B114" s="26" t="s">
        <v>81</v>
      </c>
      <c r="C114" s="27"/>
      <c r="D114" s="28">
        <f>C95+C102</f>
        <v>220000</v>
      </c>
      <c r="F114" s="26" t="s">
        <v>82</v>
      </c>
      <c r="G114" s="27"/>
      <c r="H114" s="28">
        <f>H94+H103+H111</f>
        <v>-10750</v>
      </c>
    </row>
    <row r="115" spans="2:8" ht="16.5" thickBot="1">
      <c r="B115" s="29" t="s">
        <v>83</v>
      </c>
      <c r="C115" s="30"/>
      <c r="D115" s="31">
        <f>C79+D114</f>
        <v>2537709.5499999998</v>
      </c>
      <c r="F115" s="29" t="s">
        <v>84</v>
      </c>
      <c r="G115" s="30"/>
      <c r="H115" s="31">
        <f>C80+H114</f>
        <v>2324835</v>
      </c>
    </row>
    <row r="116" spans="2:8" ht="15.75" thickBot="1"/>
    <row r="117" spans="2:8" ht="16.5" thickBot="1">
      <c r="B117" s="32" t="s">
        <v>85</v>
      </c>
      <c r="C117" s="33"/>
      <c r="D117" s="33"/>
      <c r="E117" s="34">
        <f>D115-H115</f>
        <v>212874.54999999981</v>
      </c>
    </row>
    <row r="119" spans="2:8" ht="15.75" thickBot="1"/>
    <row r="120" spans="2:8" ht="15.75" thickBot="1">
      <c r="B120" s="104" t="s">
        <v>86</v>
      </c>
      <c r="C120" s="105"/>
      <c r="D120" s="105"/>
      <c r="E120" s="106"/>
    </row>
    <row r="121" spans="2:8">
      <c r="B121" s="35" t="s">
        <v>87</v>
      </c>
      <c r="E121" s="36">
        <f>SUM(I25:I31)</f>
        <v>2317709.5499999998</v>
      </c>
    </row>
    <row r="122" spans="2:8" ht="15.75" thickBot="1">
      <c r="B122" s="35" t="s">
        <v>88</v>
      </c>
      <c r="E122" s="37">
        <f>SUM(H9:H15)</f>
        <v>2335585</v>
      </c>
    </row>
    <row r="123" spans="2:8">
      <c r="B123" s="107" t="s">
        <v>89</v>
      </c>
      <c r="C123" s="108"/>
      <c r="D123" s="109"/>
      <c r="E123" s="38">
        <f>+E121-E122</f>
        <v>-17875.450000000186</v>
      </c>
    </row>
    <row r="124" spans="2:8">
      <c r="B124" s="39" t="s">
        <v>90</v>
      </c>
      <c r="C124" s="40"/>
      <c r="D124" s="40"/>
      <c r="E124" s="41">
        <f>C95</f>
        <v>90000</v>
      </c>
    </row>
    <row r="125" spans="2:8">
      <c r="B125" s="42" t="s">
        <v>91</v>
      </c>
      <c r="C125" s="43"/>
      <c r="D125" s="43"/>
      <c r="E125" s="44">
        <f>-H103</f>
        <v>750</v>
      </c>
    </row>
    <row r="126" spans="2:8">
      <c r="B126" s="39" t="s">
        <v>92</v>
      </c>
      <c r="C126" s="40"/>
      <c r="D126" s="45"/>
      <c r="E126" s="41">
        <v>0</v>
      </c>
    </row>
    <row r="127" spans="2:8">
      <c r="B127" s="46" t="s">
        <v>93</v>
      </c>
      <c r="C127" s="47"/>
      <c r="D127" s="47"/>
      <c r="E127" s="48">
        <v>0</v>
      </c>
    </row>
    <row r="128" spans="2:8">
      <c r="B128" s="49" t="s">
        <v>94</v>
      </c>
      <c r="C128" s="4"/>
      <c r="D128" s="4"/>
      <c r="E128" s="48">
        <v>0</v>
      </c>
    </row>
    <row r="129" spans="2:5">
      <c r="B129" s="49" t="s">
        <v>95</v>
      </c>
      <c r="C129" s="4"/>
      <c r="D129" s="4"/>
      <c r="E129" s="48">
        <v>0</v>
      </c>
    </row>
    <row r="130" spans="2:5">
      <c r="B130" s="49" t="s">
        <v>96</v>
      </c>
      <c r="C130" s="4"/>
      <c r="D130" s="4"/>
      <c r="E130" s="48">
        <v>0</v>
      </c>
    </row>
    <row r="131" spans="2:5">
      <c r="B131" s="50" t="s">
        <v>97</v>
      </c>
      <c r="C131" s="51"/>
      <c r="D131" s="51"/>
      <c r="E131" s="48">
        <v>0</v>
      </c>
    </row>
    <row r="132" spans="2:5">
      <c r="B132" s="52" t="s">
        <v>98</v>
      </c>
      <c r="C132" s="53"/>
      <c r="D132" s="54"/>
      <c r="E132" s="55">
        <v>0</v>
      </c>
    </row>
    <row r="133" spans="2:5">
      <c r="B133" s="39" t="s">
        <v>99</v>
      </c>
      <c r="C133" s="40"/>
      <c r="D133" s="45"/>
      <c r="E133" s="55">
        <v>0</v>
      </c>
    </row>
    <row r="134" spans="2:5">
      <c r="B134" s="46" t="s">
        <v>100</v>
      </c>
      <c r="C134" s="47"/>
      <c r="D134" s="47"/>
      <c r="E134" s="48">
        <v>0</v>
      </c>
    </row>
    <row r="135" spans="2:5">
      <c r="B135" s="49" t="s">
        <v>101</v>
      </c>
      <c r="C135" s="4"/>
      <c r="D135" s="4"/>
      <c r="E135" s="48">
        <v>0</v>
      </c>
    </row>
    <row r="136" spans="2:5">
      <c r="B136" s="49" t="s">
        <v>102</v>
      </c>
      <c r="C136" s="4"/>
      <c r="D136" s="4"/>
      <c r="E136" s="48">
        <v>0</v>
      </c>
    </row>
    <row r="137" spans="2:5">
      <c r="B137" s="49" t="s">
        <v>103</v>
      </c>
      <c r="C137" s="4"/>
      <c r="D137" s="4"/>
      <c r="E137" s="48">
        <f>-H94</f>
        <v>-40000</v>
      </c>
    </row>
    <row r="138" spans="2:5">
      <c r="B138" s="49" t="s">
        <v>104</v>
      </c>
      <c r="C138" s="4"/>
      <c r="D138" s="4"/>
      <c r="E138" s="48">
        <v>0</v>
      </c>
    </row>
    <row r="139" spans="2:5">
      <c r="B139" s="50" t="s">
        <v>105</v>
      </c>
      <c r="C139" s="51"/>
      <c r="D139" s="51"/>
      <c r="E139" s="48">
        <f>-H111</f>
        <v>50000</v>
      </c>
    </row>
    <row r="140" spans="2:5">
      <c r="B140" s="39" t="s">
        <v>106</v>
      </c>
      <c r="C140" s="40"/>
      <c r="D140" s="45"/>
      <c r="E140" s="55">
        <v>0</v>
      </c>
    </row>
    <row r="141" spans="2:5">
      <c r="B141" s="46" t="s">
        <v>107</v>
      </c>
      <c r="C141" s="47"/>
      <c r="D141" s="47"/>
      <c r="E141" s="48">
        <v>0</v>
      </c>
    </row>
    <row r="142" spans="2:5">
      <c r="B142" s="50" t="s">
        <v>108</v>
      </c>
      <c r="C142" s="51"/>
      <c r="D142" s="51"/>
      <c r="E142" s="48">
        <v>0</v>
      </c>
    </row>
    <row r="143" spans="2:5">
      <c r="B143" s="39" t="s">
        <v>109</v>
      </c>
      <c r="C143" s="40"/>
      <c r="D143" s="45"/>
      <c r="E143" s="55">
        <v>0</v>
      </c>
    </row>
    <row r="144" spans="2:5">
      <c r="B144" s="46" t="s">
        <v>110</v>
      </c>
      <c r="C144" s="47"/>
      <c r="D144" s="47"/>
      <c r="E144" s="48">
        <f>C102</f>
        <v>130000</v>
      </c>
    </row>
    <row r="145" spans="2:6">
      <c r="B145" s="49" t="s">
        <v>111</v>
      </c>
      <c r="C145" s="4"/>
      <c r="D145" s="4"/>
      <c r="E145" s="48">
        <v>0</v>
      </c>
    </row>
    <row r="146" spans="2:6">
      <c r="B146" s="110" t="s">
        <v>112</v>
      </c>
      <c r="C146" s="111"/>
      <c r="D146" s="111"/>
      <c r="E146" s="56">
        <f>SUM(E124:E145)</f>
        <v>230750</v>
      </c>
    </row>
    <row r="147" spans="2:6" ht="15.75" thickBot="1">
      <c r="B147" s="112" t="s">
        <v>113</v>
      </c>
      <c r="C147" s="113"/>
      <c r="D147" s="114"/>
      <c r="E147" s="57">
        <f>SUM(E123:E145)</f>
        <v>212874.54999999981</v>
      </c>
    </row>
    <row r="148" spans="2:6" ht="15.75" thickBot="1">
      <c r="B148" s="58"/>
      <c r="E148" s="58"/>
    </row>
    <row r="149" spans="2:6" ht="15.75" thickBot="1">
      <c r="B149" s="115" t="s">
        <v>114</v>
      </c>
      <c r="C149" s="116"/>
      <c r="D149" s="116"/>
      <c r="E149" s="59">
        <f>+E147/E121</f>
        <v>9.1846948639444412E-2</v>
      </c>
    </row>
    <row r="151" spans="2:6">
      <c r="B151" t="s">
        <v>115</v>
      </c>
    </row>
    <row r="154" spans="2:6" ht="15.75">
      <c r="B154" s="15" t="s">
        <v>146</v>
      </c>
    </row>
    <row r="156" spans="2:6">
      <c r="B156" t="s">
        <v>116</v>
      </c>
    </row>
    <row r="158" spans="2:6">
      <c r="B158" s="4" t="s">
        <v>117</v>
      </c>
      <c r="C158" s="4" t="s">
        <v>118</v>
      </c>
      <c r="D158" s="40"/>
      <c r="E158" s="45"/>
      <c r="F158" s="17">
        <f>E122</f>
        <v>2335585</v>
      </c>
    </row>
    <row r="159" spans="2:6">
      <c r="B159" s="4" t="s">
        <v>119</v>
      </c>
      <c r="C159" s="43" t="s">
        <v>33</v>
      </c>
      <c r="F159" s="17">
        <v>0</v>
      </c>
    </row>
    <row r="160" spans="2:6">
      <c r="B160" s="4" t="s">
        <v>120</v>
      </c>
      <c r="C160" s="4" t="s">
        <v>121</v>
      </c>
      <c r="D160" s="40"/>
      <c r="E160" s="45"/>
      <c r="F160" s="17">
        <f>F158-F159</f>
        <v>2335585</v>
      </c>
    </row>
    <row r="161" spans="2:6">
      <c r="B161" s="4" t="s">
        <v>122</v>
      </c>
      <c r="C161" s="43" t="s">
        <v>123</v>
      </c>
      <c r="F161" s="17">
        <f>H94</f>
        <v>40000</v>
      </c>
    </row>
    <row r="162" spans="2:6">
      <c r="B162" s="4" t="s">
        <v>122</v>
      </c>
      <c r="C162" s="4" t="s">
        <v>124</v>
      </c>
      <c r="D162" s="40"/>
      <c r="E162" s="45"/>
      <c r="F162" s="17">
        <f>H111</f>
        <v>-50000</v>
      </c>
    </row>
    <row r="163" spans="2:6">
      <c r="B163" s="4" t="s">
        <v>119</v>
      </c>
      <c r="C163" s="43" t="s">
        <v>125</v>
      </c>
      <c r="F163" s="17">
        <v>0</v>
      </c>
    </row>
    <row r="164" spans="2:6">
      <c r="B164" s="4" t="s">
        <v>119</v>
      </c>
      <c r="C164" s="4" t="s">
        <v>126</v>
      </c>
      <c r="D164" s="40"/>
      <c r="E164" s="45"/>
      <c r="F164" s="17">
        <v>0</v>
      </c>
    </row>
    <row r="165" spans="2:6">
      <c r="B165" s="4" t="s">
        <v>120</v>
      </c>
      <c r="C165" s="43" t="s">
        <v>127</v>
      </c>
      <c r="F165" s="17">
        <f>F160+F161+F162-F163-F164</f>
        <v>2325585</v>
      </c>
    </row>
    <row r="166" spans="2:6">
      <c r="B166" s="4" t="s">
        <v>119</v>
      </c>
      <c r="C166" s="4" t="s">
        <v>128</v>
      </c>
      <c r="D166" s="40"/>
      <c r="E166" s="45"/>
      <c r="F166" s="17"/>
    </row>
    <row r="167" spans="2:6">
      <c r="B167" s="4" t="s">
        <v>129</v>
      </c>
      <c r="C167" s="47" t="s">
        <v>130</v>
      </c>
      <c r="D167" s="60"/>
      <c r="E167" s="61"/>
      <c r="F167" s="17"/>
    </row>
    <row r="168" spans="2:6" ht="15.75" thickBot="1">
      <c r="F168" s="10"/>
    </row>
    <row r="169" spans="2:6" ht="16.5" thickBot="1">
      <c r="B169" s="62" t="s">
        <v>120</v>
      </c>
      <c r="C169" s="63" t="s">
        <v>131</v>
      </c>
      <c r="D169" s="64"/>
      <c r="E169" s="64"/>
      <c r="F169" s="65">
        <f>F165-F166+F167</f>
        <v>2325585</v>
      </c>
    </row>
    <row r="170" spans="2:6">
      <c r="F170" s="10"/>
    </row>
    <row r="171" spans="2:6" ht="15.75">
      <c r="B171" s="8" t="s">
        <v>132</v>
      </c>
      <c r="C171" s="8" t="s">
        <v>133</v>
      </c>
      <c r="D171" s="40"/>
      <c r="E171" s="45"/>
      <c r="F171" s="66">
        <v>1.7000000000000001E-2</v>
      </c>
    </row>
    <row r="172" spans="2:6" ht="15.75">
      <c r="B172" s="8" t="s">
        <v>134</v>
      </c>
      <c r="C172" s="8" t="s">
        <v>135</v>
      </c>
      <c r="D172" s="40"/>
      <c r="E172" s="45"/>
      <c r="F172" s="67">
        <f>F169*F171</f>
        <v>39534.945</v>
      </c>
    </row>
    <row r="173" spans="2:6" ht="15.75">
      <c r="B173" s="8" t="s">
        <v>136</v>
      </c>
      <c r="C173" s="8" t="s">
        <v>137</v>
      </c>
      <c r="D173" s="40"/>
      <c r="E173" s="45"/>
      <c r="F173" s="67">
        <f>F169+F172</f>
        <v>2365119.9449999998</v>
      </c>
    </row>
    <row r="176" spans="2:6" ht="15.75">
      <c r="B176" s="18" t="s">
        <v>138</v>
      </c>
    </row>
    <row r="177" spans="2:2" ht="15.75">
      <c r="B177" s="18" t="s">
        <v>139</v>
      </c>
    </row>
    <row r="178" spans="2:2" ht="15.75">
      <c r="B178" s="18" t="s">
        <v>140</v>
      </c>
    </row>
  </sheetData>
  <mergeCells count="6">
    <mergeCell ref="B149:D149"/>
    <mergeCell ref="B2:D2"/>
    <mergeCell ref="B120:E120"/>
    <mergeCell ref="B123:D123"/>
    <mergeCell ref="B146:D146"/>
    <mergeCell ref="B147:D147"/>
  </mergeCells>
  <pageMargins left="0.23622047244094491" right="0.23622047244094491" top="0.74803149606299213" bottom="0.74803149606299213" header="0.31496062992125984" footer="0.31496062992125984"/>
  <pageSetup paperSize="8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workbookViewId="0">
      <selection activeCell="B70" sqref="B70:F77"/>
    </sheetView>
  </sheetViews>
  <sheetFormatPr baseColWidth="10" defaultColWidth="10.140625" defaultRowHeight="15"/>
  <cols>
    <col min="2" max="2" width="12.140625" customWidth="1"/>
    <col min="3" max="11" width="16.5703125" customWidth="1"/>
  </cols>
  <sheetData>
    <row r="1" spans="2:11" ht="15.75" thickBot="1"/>
    <row r="2" spans="2:11" ht="16.5" thickBot="1">
      <c r="B2" s="101" t="s">
        <v>161</v>
      </c>
      <c r="C2" s="102"/>
      <c r="D2" s="103"/>
    </row>
    <row r="5" spans="2:11" ht="15.75">
      <c r="B5" s="1" t="s">
        <v>42</v>
      </c>
      <c r="C5" s="1"/>
    </row>
    <row r="6" spans="2:11" ht="15.75">
      <c r="B6" s="1" t="s">
        <v>43</v>
      </c>
      <c r="C6" s="1"/>
    </row>
    <row r="8" spans="2:11" ht="31.5"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147</v>
      </c>
    </row>
    <row r="9" spans="2:11">
      <c r="B9" s="4">
        <v>1</v>
      </c>
      <c r="C9" s="71">
        <v>1560000</v>
      </c>
      <c r="D9" s="71">
        <v>0</v>
      </c>
      <c r="E9" s="71">
        <f>C9+D9</f>
        <v>1560000</v>
      </c>
      <c r="F9" s="71">
        <v>1456000</v>
      </c>
      <c r="G9" s="71">
        <v>1456000</v>
      </c>
      <c r="H9" s="71">
        <v>1450000</v>
      </c>
      <c r="I9" s="71">
        <v>1450000</v>
      </c>
      <c r="J9" s="71">
        <f>I9</f>
        <v>1450000</v>
      </c>
      <c r="K9" s="71">
        <f>H9-J9</f>
        <v>0</v>
      </c>
    </row>
    <row r="10" spans="2:11">
      <c r="B10" s="4">
        <v>2</v>
      </c>
      <c r="C10" s="71">
        <v>2900000</v>
      </c>
      <c r="D10" s="71">
        <v>0</v>
      </c>
      <c r="E10" s="71">
        <f t="shared" ref="E10:E17" si="0">C10+D10</f>
        <v>2900000</v>
      </c>
      <c r="F10" s="71">
        <v>2870000</v>
      </c>
      <c r="G10" s="71">
        <v>2780000</v>
      </c>
      <c r="H10" s="71">
        <v>2560000</v>
      </c>
      <c r="I10" s="71">
        <v>2450000</v>
      </c>
      <c r="J10" s="71">
        <f>I10</f>
        <v>2450000</v>
      </c>
      <c r="K10" s="71">
        <f t="shared" ref="K10:K17" si="1">H10-J10</f>
        <v>110000</v>
      </c>
    </row>
    <row r="11" spans="2:11">
      <c r="B11" s="4">
        <v>3</v>
      </c>
      <c r="C11" s="71">
        <v>60000</v>
      </c>
      <c r="D11" s="71">
        <v>0</v>
      </c>
      <c r="E11" s="71">
        <f t="shared" si="0"/>
        <v>60000</v>
      </c>
      <c r="F11" s="71">
        <v>59000</v>
      </c>
      <c r="G11" s="71">
        <v>59000</v>
      </c>
      <c r="H11" s="71">
        <v>59000</v>
      </c>
      <c r="I11" s="71">
        <v>59000</v>
      </c>
      <c r="J11" s="71">
        <f>I11</f>
        <v>59000</v>
      </c>
      <c r="K11" s="71">
        <f t="shared" si="1"/>
        <v>0</v>
      </c>
    </row>
    <row r="12" spans="2:11">
      <c r="B12" s="4">
        <v>4</v>
      </c>
      <c r="C12" s="71">
        <v>230000</v>
      </c>
      <c r="D12" s="71">
        <v>0</v>
      </c>
      <c r="E12" s="71">
        <f t="shared" si="0"/>
        <v>230000</v>
      </c>
      <c r="F12" s="71">
        <v>190000</v>
      </c>
      <c r="G12" s="71">
        <v>190000</v>
      </c>
      <c r="H12" s="71">
        <v>80000</v>
      </c>
      <c r="I12" s="71">
        <v>80000</v>
      </c>
      <c r="J12" s="71">
        <f>I12</f>
        <v>80000</v>
      </c>
      <c r="K12" s="71">
        <f t="shared" si="1"/>
        <v>0</v>
      </c>
    </row>
    <row r="13" spans="2:11">
      <c r="B13" s="4">
        <v>5</v>
      </c>
      <c r="C13" s="71">
        <v>0</v>
      </c>
      <c r="D13" s="71">
        <v>0</v>
      </c>
      <c r="E13" s="71">
        <f t="shared" si="0"/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f t="shared" si="1"/>
        <v>0</v>
      </c>
    </row>
    <row r="14" spans="2:11">
      <c r="B14" s="4">
        <v>6</v>
      </c>
      <c r="C14" s="71">
        <v>5000000</v>
      </c>
      <c r="D14" s="72">
        <v>0</v>
      </c>
      <c r="E14" s="72">
        <f t="shared" si="0"/>
        <v>5000000</v>
      </c>
      <c r="F14" s="72">
        <v>4950000</v>
      </c>
      <c r="G14" s="72">
        <v>4940000</v>
      </c>
      <c r="H14" s="73">
        <v>3750000</v>
      </c>
      <c r="I14" s="71">
        <v>2650000</v>
      </c>
      <c r="J14" s="71">
        <f>I14</f>
        <v>2650000</v>
      </c>
      <c r="K14" s="71">
        <f t="shared" si="1"/>
        <v>1100000</v>
      </c>
    </row>
    <row r="15" spans="2:11">
      <c r="B15" s="4">
        <v>7</v>
      </c>
      <c r="C15" s="71">
        <v>15000</v>
      </c>
      <c r="D15" s="72">
        <v>0</v>
      </c>
      <c r="E15" s="72">
        <f t="shared" si="0"/>
        <v>15000</v>
      </c>
      <c r="F15" s="72">
        <v>15000</v>
      </c>
      <c r="G15" s="72">
        <v>15000</v>
      </c>
      <c r="H15" s="72">
        <v>15000</v>
      </c>
      <c r="I15" s="71">
        <v>0</v>
      </c>
      <c r="J15" s="71">
        <f>I15</f>
        <v>0</v>
      </c>
      <c r="K15" s="71">
        <f t="shared" si="1"/>
        <v>15000</v>
      </c>
    </row>
    <row r="16" spans="2:11">
      <c r="B16" s="4">
        <v>8</v>
      </c>
      <c r="C16" s="71">
        <v>0</v>
      </c>
      <c r="D16" s="71">
        <v>0</v>
      </c>
      <c r="E16" s="71">
        <f t="shared" si="0"/>
        <v>0</v>
      </c>
      <c r="F16" s="71">
        <v>0</v>
      </c>
      <c r="G16" s="71">
        <v>0</v>
      </c>
      <c r="H16" s="71">
        <v>0</v>
      </c>
      <c r="I16" s="71">
        <v>0</v>
      </c>
      <c r="J16" s="71">
        <f>I16</f>
        <v>0</v>
      </c>
      <c r="K16" s="71">
        <f t="shared" si="1"/>
        <v>0</v>
      </c>
    </row>
    <row r="17" spans="2:11">
      <c r="B17" s="4">
        <v>9</v>
      </c>
      <c r="C17" s="71">
        <v>5500</v>
      </c>
      <c r="D17" s="71">
        <v>0</v>
      </c>
      <c r="E17" s="71">
        <f t="shared" si="0"/>
        <v>5500</v>
      </c>
      <c r="F17" s="71">
        <v>5500</v>
      </c>
      <c r="G17" s="71">
        <v>5500</v>
      </c>
      <c r="H17" s="71">
        <v>5500</v>
      </c>
      <c r="I17" s="71">
        <v>5500</v>
      </c>
      <c r="J17" s="71">
        <f>I17</f>
        <v>5500</v>
      </c>
      <c r="K17" s="71">
        <f t="shared" si="1"/>
        <v>0</v>
      </c>
    </row>
    <row r="18" spans="2:11" ht="15.75">
      <c r="B18" s="8" t="s">
        <v>11</v>
      </c>
      <c r="C18" s="9">
        <f>SUM(C9:C17)</f>
        <v>9770500</v>
      </c>
      <c r="D18" s="9">
        <f t="shared" ref="D18:K18" si="2">SUM(D9:D17)</f>
        <v>0</v>
      </c>
      <c r="E18" s="9">
        <f t="shared" si="2"/>
        <v>9770500</v>
      </c>
      <c r="F18" s="9">
        <f t="shared" si="2"/>
        <v>9545500</v>
      </c>
      <c r="G18" s="9">
        <f t="shared" si="2"/>
        <v>9445500</v>
      </c>
      <c r="H18" s="9">
        <f t="shared" si="2"/>
        <v>7919500</v>
      </c>
      <c r="I18" s="9">
        <f t="shared" si="2"/>
        <v>6694500</v>
      </c>
      <c r="J18" s="9">
        <f t="shared" si="2"/>
        <v>6694500</v>
      </c>
      <c r="K18" s="9">
        <f t="shared" si="2"/>
        <v>1225000</v>
      </c>
    </row>
    <row r="20" spans="2:11">
      <c r="H20" s="10"/>
    </row>
    <row r="21" spans="2:11" ht="15.75">
      <c r="B21" s="1" t="s">
        <v>162</v>
      </c>
      <c r="C21" s="1"/>
      <c r="H21" s="10"/>
    </row>
    <row r="22" spans="2:11" ht="15.75">
      <c r="B22" s="1" t="s">
        <v>44</v>
      </c>
      <c r="C22" s="1"/>
    </row>
    <row r="24" spans="2:11" ht="47.25">
      <c r="B24" s="8" t="s">
        <v>0</v>
      </c>
      <c r="C24" s="3" t="s">
        <v>12</v>
      </c>
      <c r="D24" s="3" t="s">
        <v>2</v>
      </c>
      <c r="E24" s="3" t="s">
        <v>13</v>
      </c>
      <c r="F24" s="3" t="s">
        <v>14</v>
      </c>
      <c r="G24" s="3" t="s">
        <v>15</v>
      </c>
      <c r="H24" s="3" t="s">
        <v>17</v>
      </c>
      <c r="I24" s="3" t="s">
        <v>148</v>
      </c>
      <c r="J24" s="3" t="s">
        <v>19</v>
      </c>
      <c r="K24" s="74"/>
    </row>
    <row r="25" spans="2:11">
      <c r="B25" s="4">
        <v>1</v>
      </c>
      <c r="C25" s="17">
        <f>1970000+670000+280000</f>
        <v>2920000</v>
      </c>
      <c r="D25" s="75">
        <v>0</v>
      </c>
      <c r="E25" s="75">
        <f>C25+D25</f>
        <v>2920000</v>
      </c>
      <c r="F25" s="75">
        <v>2760000</v>
      </c>
      <c r="G25" s="75">
        <v>2560</v>
      </c>
      <c r="H25" s="75">
        <f>F25-G25</f>
        <v>2757440</v>
      </c>
      <c r="I25" s="75">
        <v>2555000</v>
      </c>
      <c r="J25" s="75">
        <f>H25-I25</f>
        <v>202440</v>
      </c>
    </row>
    <row r="26" spans="2:11">
      <c r="B26" s="4">
        <v>2</v>
      </c>
      <c r="C26" s="17">
        <f>390500+260000</f>
        <v>650500</v>
      </c>
      <c r="D26" s="75">
        <v>0</v>
      </c>
      <c r="E26" s="75">
        <f t="shared" ref="E26:E32" si="3">C26+D26</f>
        <v>650500</v>
      </c>
      <c r="F26" s="75">
        <v>265000</v>
      </c>
      <c r="G26" s="75">
        <v>560</v>
      </c>
      <c r="H26" s="75">
        <f>F26-G26</f>
        <v>264440</v>
      </c>
      <c r="I26" s="75">
        <v>223000</v>
      </c>
      <c r="J26" s="75">
        <f t="shared" ref="J26:J33" si="4">H26-I26</f>
        <v>41440</v>
      </c>
    </row>
    <row r="27" spans="2:11">
      <c r="B27" s="4">
        <v>3</v>
      </c>
      <c r="C27" s="17">
        <v>700000</v>
      </c>
      <c r="D27" s="75">
        <v>0</v>
      </c>
      <c r="E27" s="75">
        <f t="shared" si="3"/>
        <v>700000</v>
      </c>
      <c r="F27" s="75">
        <v>659000</v>
      </c>
      <c r="G27" s="75">
        <v>15000</v>
      </c>
      <c r="H27" s="75">
        <f>F27-G27</f>
        <v>644000</v>
      </c>
      <c r="I27" s="75">
        <v>609000</v>
      </c>
      <c r="J27" s="75">
        <f t="shared" si="4"/>
        <v>35000</v>
      </c>
    </row>
    <row r="28" spans="2:11">
      <c r="B28" s="4">
        <v>4</v>
      </c>
      <c r="C28" s="17">
        <v>950000</v>
      </c>
      <c r="D28" s="75">
        <v>0</v>
      </c>
      <c r="E28" s="75">
        <f t="shared" si="3"/>
        <v>950000</v>
      </c>
      <c r="F28" s="75">
        <v>866000</v>
      </c>
      <c r="G28" s="75">
        <v>0</v>
      </c>
      <c r="H28" s="75">
        <v>866000</v>
      </c>
      <c r="I28" s="75">
        <v>866000</v>
      </c>
      <c r="J28" s="75">
        <f t="shared" si="4"/>
        <v>0</v>
      </c>
    </row>
    <row r="29" spans="2:11">
      <c r="B29" s="4">
        <v>5</v>
      </c>
      <c r="C29" s="17">
        <v>50000</v>
      </c>
      <c r="D29" s="75">
        <v>0</v>
      </c>
      <c r="E29" s="75">
        <f t="shared" si="3"/>
        <v>50000</v>
      </c>
      <c r="F29" s="75">
        <v>49500</v>
      </c>
      <c r="G29" s="75">
        <v>0</v>
      </c>
      <c r="H29" s="75">
        <f>F29-G29</f>
        <v>49500</v>
      </c>
      <c r="I29" s="75">
        <v>0</v>
      </c>
      <c r="J29" s="75">
        <f t="shared" si="4"/>
        <v>49500</v>
      </c>
    </row>
    <row r="30" spans="2:11">
      <c r="B30" s="4">
        <v>6</v>
      </c>
      <c r="C30" s="17">
        <v>0</v>
      </c>
      <c r="D30" s="75">
        <v>0</v>
      </c>
      <c r="E30" s="75">
        <f t="shared" si="3"/>
        <v>0</v>
      </c>
      <c r="F30" s="75">
        <v>0</v>
      </c>
      <c r="G30" s="75">
        <v>0</v>
      </c>
      <c r="H30" s="75">
        <f>F30-G30</f>
        <v>0</v>
      </c>
      <c r="I30" s="75">
        <v>0</v>
      </c>
      <c r="J30" s="75">
        <f t="shared" si="4"/>
        <v>0</v>
      </c>
    </row>
    <row r="31" spans="2:11">
      <c r="B31" s="4">
        <v>7</v>
      </c>
      <c r="C31" s="17">
        <f>1000000+800000</f>
        <v>1800000</v>
      </c>
      <c r="D31" s="75">
        <v>0</v>
      </c>
      <c r="E31" s="75">
        <f t="shared" si="3"/>
        <v>1800000</v>
      </c>
      <c r="F31" s="75">
        <f>0.5*800000</f>
        <v>400000</v>
      </c>
      <c r="G31" s="75">
        <v>0</v>
      </c>
      <c r="H31" s="75">
        <f>F31-G31</f>
        <v>400000</v>
      </c>
      <c r="I31" s="75">
        <v>400000</v>
      </c>
      <c r="J31" s="75">
        <f t="shared" si="4"/>
        <v>0</v>
      </c>
    </row>
    <row r="32" spans="2:11">
      <c r="B32" s="4">
        <v>8</v>
      </c>
      <c r="C32" s="17">
        <v>0</v>
      </c>
      <c r="D32" s="75">
        <v>80000</v>
      </c>
      <c r="E32" s="75">
        <f t="shared" si="3"/>
        <v>80000</v>
      </c>
      <c r="F32" s="75">
        <v>0</v>
      </c>
      <c r="G32" s="75">
        <v>0</v>
      </c>
      <c r="H32" s="75">
        <f>F32-G32</f>
        <v>0</v>
      </c>
      <c r="I32" s="75">
        <v>0</v>
      </c>
      <c r="J32" s="75">
        <f t="shared" si="4"/>
        <v>0</v>
      </c>
    </row>
    <row r="33" spans="2:10">
      <c r="B33" s="4">
        <v>9</v>
      </c>
      <c r="C33" s="17">
        <f>1500000+1200000</f>
        <v>2700000</v>
      </c>
      <c r="D33" s="75">
        <v>0</v>
      </c>
      <c r="E33" s="75">
        <f>750000+1200000</f>
        <v>1950000</v>
      </c>
      <c r="F33" s="75">
        <v>1950000</v>
      </c>
      <c r="G33" s="75">
        <v>0</v>
      </c>
      <c r="H33" s="75">
        <f>F33-G33</f>
        <v>1950000</v>
      </c>
      <c r="I33" s="75">
        <v>1950000</v>
      </c>
      <c r="J33" s="75">
        <f t="shared" si="4"/>
        <v>0</v>
      </c>
    </row>
    <row r="34" spans="2:10" ht="15.75">
      <c r="B34" s="8" t="s">
        <v>11</v>
      </c>
      <c r="C34" s="67">
        <f>SUM(C25:C33)</f>
        <v>9770500</v>
      </c>
      <c r="D34" s="67">
        <f t="shared" ref="D34:J34" si="5">SUM(D25:D33)</f>
        <v>80000</v>
      </c>
      <c r="E34" s="67">
        <f t="shared" si="5"/>
        <v>9100500</v>
      </c>
      <c r="F34" s="67">
        <f t="shared" si="5"/>
        <v>6949500</v>
      </c>
      <c r="G34" s="67">
        <f t="shared" si="5"/>
        <v>18120</v>
      </c>
      <c r="H34" s="67">
        <f t="shared" si="5"/>
        <v>6931380</v>
      </c>
      <c r="I34" s="67">
        <f t="shared" si="5"/>
        <v>6603000</v>
      </c>
      <c r="J34" s="67">
        <f t="shared" si="5"/>
        <v>328380</v>
      </c>
    </row>
    <row r="35" spans="2:10">
      <c r="C35" s="10">
        <f>C34-C18</f>
        <v>0</v>
      </c>
    </row>
    <row r="37" spans="2:10" ht="15.75">
      <c r="B37" s="14" t="s">
        <v>163</v>
      </c>
    </row>
    <row r="39" spans="2:10" ht="15.75">
      <c r="B39" s="15" t="s">
        <v>21</v>
      </c>
    </row>
    <row r="40" spans="2:10" ht="15.75">
      <c r="C40" s="16"/>
      <c r="D40" s="16"/>
    </row>
    <row r="41" spans="2:10" ht="31.5">
      <c r="B41" s="15"/>
      <c r="C41" s="3" t="s">
        <v>22</v>
      </c>
      <c r="D41" s="3" t="s">
        <v>23</v>
      </c>
    </row>
    <row r="42" spans="2:10" ht="15.75">
      <c r="B42" s="8" t="s">
        <v>24</v>
      </c>
      <c r="C42" s="17">
        <v>875000</v>
      </c>
      <c r="D42" s="17">
        <v>260000</v>
      </c>
    </row>
    <row r="43" spans="2:10" ht="15.75">
      <c r="B43" s="8" t="s">
        <v>25</v>
      </c>
      <c r="C43" s="17">
        <v>66000</v>
      </c>
      <c r="D43" s="17">
        <v>22000</v>
      </c>
    </row>
    <row r="44" spans="2:10" ht="15.75">
      <c r="B44" s="8" t="s">
        <v>26</v>
      </c>
      <c r="C44" s="17">
        <v>530000</v>
      </c>
      <c r="D44" s="17">
        <v>305000</v>
      </c>
    </row>
    <row r="46" spans="2:10" ht="15.75">
      <c r="B46" s="18" t="s">
        <v>27</v>
      </c>
    </row>
    <row r="47" spans="2:10" ht="15.75">
      <c r="B47" s="18"/>
    </row>
    <row r="48" spans="2:10">
      <c r="B48" s="19" t="s">
        <v>149</v>
      </c>
    </row>
    <row r="49" spans="2:2">
      <c r="B49" s="19" t="s">
        <v>150</v>
      </c>
    </row>
    <row r="50" spans="2:2">
      <c r="B50" s="19" t="s">
        <v>151</v>
      </c>
    </row>
    <row r="51" spans="2:2">
      <c r="B51" s="19" t="s">
        <v>152</v>
      </c>
    </row>
    <row r="52" spans="2:2" ht="15.75">
      <c r="B52" s="18"/>
    </row>
    <row r="53" spans="2:2" ht="15.75">
      <c r="B53" s="18" t="s">
        <v>153</v>
      </c>
    </row>
    <row r="55" spans="2:2">
      <c r="B55" t="s">
        <v>154</v>
      </c>
    </row>
    <row r="56" spans="2:2">
      <c r="B56" t="s">
        <v>155</v>
      </c>
    </row>
    <row r="58" spans="2:2" ht="15.75">
      <c r="B58" s="15" t="s">
        <v>33</v>
      </c>
    </row>
    <row r="60" spans="2:2">
      <c r="B60" t="s">
        <v>34</v>
      </c>
    </row>
    <row r="61" spans="2:2">
      <c r="B61" t="s">
        <v>156</v>
      </c>
    </row>
    <row r="62" spans="2:2">
      <c r="B62" t="s">
        <v>157</v>
      </c>
    </row>
    <row r="63" spans="2:2">
      <c r="B63" t="s">
        <v>37</v>
      </c>
    </row>
    <row r="65" spans="2:5">
      <c r="B65" t="s">
        <v>158</v>
      </c>
    </row>
    <row r="67" spans="2:5">
      <c r="B67" t="s">
        <v>159</v>
      </c>
      <c r="E67" s="10">
        <v>50000</v>
      </c>
    </row>
    <row r="68" spans="2:5">
      <c r="B68" t="s">
        <v>160</v>
      </c>
      <c r="E68" s="10">
        <v>7500</v>
      </c>
    </row>
    <row r="70" spans="2:5" ht="15.75">
      <c r="B70" s="15" t="s">
        <v>164</v>
      </c>
    </row>
    <row r="72" spans="2:5">
      <c r="B72" t="s">
        <v>165</v>
      </c>
    </row>
    <row r="73" spans="2:5">
      <c r="B73" t="s">
        <v>166</v>
      </c>
    </row>
    <row r="76" spans="2:5">
      <c r="B76" t="s">
        <v>167</v>
      </c>
    </row>
  </sheetData>
  <mergeCells count="1">
    <mergeCell ref="B2:D2"/>
  </mergeCells>
  <pageMargins left="0.25" right="0.25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5"/>
  <sheetViews>
    <sheetView tabSelected="1" topLeftCell="A71" workbookViewId="0">
      <selection activeCell="J187" sqref="A78:J187"/>
    </sheetView>
  </sheetViews>
  <sheetFormatPr baseColWidth="10" defaultColWidth="10.140625" defaultRowHeight="15"/>
  <cols>
    <col min="2" max="2" width="15.28515625" customWidth="1"/>
    <col min="3" max="11" width="16.5703125" customWidth="1"/>
  </cols>
  <sheetData>
    <row r="1" spans="2:11" ht="15.75" thickBot="1"/>
    <row r="2" spans="2:11" ht="16.5" thickBot="1">
      <c r="B2" s="101" t="s">
        <v>161</v>
      </c>
      <c r="C2" s="102"/>
      <c r="D2" s="103"/>
    </row>
    <row r="5" spans="2:11" ht="15.75">
      <c r="B5" s="1" t="s">
        <v>42</v>
      </c>
      <c r="C5" s="1"/>
    </row>
    <row r="6" spans="2:11" ht="15.75">
      <c r="B6" s="1" t="s">
        <v>43</v>
      </c>
      <c r="C6" s="1"/>
    </row>
    <row r="8" spans="2:11" ht="31.5"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147</v>
      </c>
    </row>
    <row r="9" spans="2:11">
      <c r="B9" s="4">
        <v>1</v>
      </c>
      <c r="C9" s="71">
        <v>1560000</v>
      </c>
      <c r="D9" s="71">
        <v>0</v>
      </c>
      <c r="E9" s="71">
        <f>C9+D9</f>
        <v>1560000</v>
      </c>
      <c r="F9" s="71">
        <v>1456000</v>
      </c>
      <c r="G9" s="71">
        <v>1456000</v>
      </c>
      <c r="H9" s="71">
        <v>1450000</v>
      </c>
      <c r="I9" s="71">
        <v>1450000</v>
      </c>
      <c r="J9" s="71">
        <f>I9</f>
        <v>1450000</v>
      </c>
      <c r="K9" s="71">
        <f>H9-J9</f>
        <v>0</v>
      </c>
    </row>
    <row r="10" spans="2:11">
      <c r="B10" s="4">
        <v>2</v>
      </c>
      <c r="C10" s="71">
        <v>2900000</v>
      </c>
      <c r="D10" s="71">
        <v>0</v>
      </c>
      <c r="E10" s="71">
        <f t="shared" ref="E10:E17" si="0">C10+D10</f>
        <v>2900000</v>
      </c>
      <c r="F10" s="71">
        <v>2870000</v>
      </c>
      <c r="G10" s="71">
        <v>2780000</v>
      </c>
      <c r="H10" s="71">
        <v>2560000</v>
      </c>
      <c r="I10" s="71">
        <v>2450000</v>
      </c>
      <c r="J10" s="71">
        <f>I10</f>
        <v>2450000</v>
      </c>
      <c r="K10" s="71">
        <f t="shared" ref="K10:K17" si="1">H10-J10</f>
        <v>110000</v>
      </c>
    </row>
    <row r="11" spans="2:11">
      <c r="B11" s="4">
        <v>3</v>
      </c>
      <c r="C11" s="71">
        <v>60000</v>
      </c>
      <c r="D11" s="71">
        <v>0</v>
      </c>
      <c r="E11" s="71">
        <f t="shared" si="0"/>
        <v>60000</v>
      </c>
      <c r="F11" s="71">
        <v>59000</v>
      </c>
      <c r="G11" s="71">
        <v>59000</v>
      </c>
      <c r="H11" s="71">
        <v>59000</v>
      </c>
      <c r="I11" s="71">
        <v>59000</v>
      </c>
      <c r="J11" s="71">
        <f>I11</f>
        <v>59000</v>
      </c>
      <c r="K11" s="71">
        <f t="shared" si="1"/>
        <v>0</v>
      </c>
    </row>
    <row r="12" spans="2:11">
      <c r="B12" s="4">
        <v>4</v>
      </c>
      <c r="C12" s="71">
        <v>230000</v>
      </c>
      <c r="D12" s="71">
        <v>0</v>
      </c>
      <c r="E12" s="71">
        <f t="shared" si="0"/>
        <v>230000</v>
      </c>
      <c r="F12" s="71">
        <v>190000</v>
      </c>
      <c r="G12" s="71">
        <v>190000</v>
      </c>
      <c r="H12" s="71">
        <v>80000</v>
      </c>
      <c r="I12" s="71">
        <v>80000</v>
      </c>
      <c r="J12" s="71">
        <f>I12</f>
        <v>80000</v>
      </c>
      <c r="K12" s="71">
        <f t="shared" si="1"/>
        <v>0</v>
      </c>
    </row>
    <row r="13" spans="2:11">
      <c r="B13" s="4">
        <v>5</v>
      </c>
      <c r="C13" s="71">
        <v>0</v>
      </c>
      <c r="D13" s="71">
        <v>0</v>
      </c>
      <c r="E13" s="71">
        <f t="shared" si="0"/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f t="shared" si="1"/>
        <v>0</v>
      </c>
    </row>
    <row r="14" spans="2:11">
      <c r="B14" s="4">
        <v>6</v>
      </c>
      <c r="C14" s="71">
        <v>5000000</v>
      </c>
      <c r="D14" s="72">
        <v>0</v>
      </c>
      <c r="E14" s="72">
        <f t="shared" si="0"/>
        <v>5000000</v>
      </c>
      <c r="F14" s="72">
        <v>4950000</v>
      </c>
      <c r="G14" s="72">
        <v>4940000</v>
      </c>
      <c r="H14" s="73">
        <v>3750000</v>
      </c>
      <c r="I14" s="71">
        <v>2650000</v>
      </c>
      <c r="J14" s="71">
        <f>I14</f>
        <v>2650000</v>
      </c>
      <c r="K14" s="71">
        <f t="shared" si="1"/>
        <v>1100000</v>
      </c>
    </row>
    <row r="15" spans="2:11">
      <c r="B15" s="4">
        <v>7</v>
      </c>
      <c r="C15" s="71">
        <v>15000</v>
      </c>
      <c r="D15" s="72">
        <v>0</v>
      </c>
      <c r="E15" s="72">
        <f t="shared" si="0"/>
        <v>15000</v>
      </c>
      <c r="F15" s="72">
        <v>15000</v>
      </c>
      <c r="G15" s="72">
        <v>15000</v>
      </c>
      <c r="H15" s="72">
        <v>15000</v>
      </c>
      <c r="I15" s="71">
        <v>0</v>
      </c>
      <c r="J15" s="71">
        <f>I15</f>
        <v>0</v>
      </c>
      <c r="K15" s="71">
        <f t="shared" si="1"/>
        <v>15000</v>
      </c>
    </row>
    <row r="16" spans="2:11">
      <c r="B16" s="4">
        <v>8</v>
      </c>
      <c r="C16" s="71">
        <v>0</v>
      </c>
      <c r="D16" s="71">
        <v>0</v>
      </c>
      <c r="E16" s="71">
        <f t="shared" si="0"/>
        <v>0</v>
      </c>
      <c r="F16" s="71">
        <v>0</v>
      </c>
      <c r="G16" s="71">
        <v>0</v>
      </c>
      <c r="H16" s="71">
        <v>0</v>
      </c>
      <c r="I16" s="71">
        <v>0</v>
      </c>
      <c r="J16" s="71">
        <f>I16</f>
        <v>0</v>
      </c>
      <c r="K16" s="71">
        <f t="shared" si="1"/>
        <v>0</v>
      </c>
    </row>
    <row r="17" spans="2:11">
      <c r="B17" s="4">
        <v>9</v>
      </c>
      <c r="C17" s="71">
        <v>5500</v>
      </c>
      <c r="D17" s="71">
        <v>0</v>
      </c>
      <c r="E17" s="71">
        <f t="shared" si="0"/>
        <v>5500</v>
      </c>
      <c r="F17" s="71">
        <v>5500</v>
      </c>
      <c r="G17" s="71">
        <v>5500</v>
      </c>
      <c r="H17" s="71">
        <v>5500</v>
      </c>
      <c r="I17" s="71">
        <v>5500</v>
      </c>
      <c r="J17" s="71">
        <f>I17</f>
        <v>5500</v>
      </c>
      <c r="K17" s="71">
        <f t="shared" si="1"/>
        <v>0</v>
      </c>
    </row>
    <row r="18" spans="2:11" ht="15.75">
      <c r="B18" s="8" t="s">
        <v>11</v>
      </c>
      <c r="C18" s="9">
        <f>SUM(C9:C17)</f>
        <v>9770500</v>
      </c>
      <c r="D18" s="9">
        <f t="shared" ref="D18:K18" si="2">SUM(D9:D17)</f>
        <v>0</v>
      </c>
      <c r="E18" s="9">
        <f t="shared" si="2"/>
        <v>9770500</v>
      </c>
      <c r="F18" s="9">
        <f t="shared" si="2"/>
        <v>9545500</v>
      </c>
      <c r="G18" s="9">
        <f t="shared" si="2"/>
        <v>9445500</v>
      </c>
      <c r="H18" s="9">
        <f t="shared" si="2"/>
        <v>7919500</v>
      </c>
      <c r="I18" s="9">
        <f t="shared" si="2"/>
        <v>6694500</v>
      </c>
      <c r="J18" s="9">
        <f t="shared" si="2"/>
        <v>6694500</v>
      </c>
      <c r="K18" s="9">
        <f t="shared" si="2"/>
        <v>1225000</v>
      </c>
    </row>
    <row r="20" spans="2:11">
      <c r="H20" s="10"/>
    </row>
    <row r="21" spans="2:11" ht="15.75">
      <c r="B21" s="1" t="s">
        <v>162</v>
      </c>
      <c r="C21" s="1"/>
      <c r="H21" s="10"/>
    </row>
    <row r="22" spans="2:11" ht="15.75">
      <c r="B22" s="1" t="s">
        <v>44</v>
      </c>
      <c r="C22" s="1"/>
    </row>
    <row r="24" spans="2:11" ht="47.25">
      <c r="B24" s="8" t="s">
        <v>0</v>
      </c>
      <c r="C24" s="3" t="s">
        <v>12</v>
      </c>
      <c r="D24" s="3" t="s">
        <v>2</v>
      </c>
      <c r="E24" s="3" t="s">
        <v>13</v>
      </c>
      <c r="F24" s="3" t="s">
        <v>14</v>
      </c>
      <c r="G24" s="3" t="s">
        <v>15</v>
      </c>
      <c r="H24" s="3" t="s">
        <v>17</v>
      </c>
      <c r="I24" s="3" t="s">
        <v>148</v>
      </c>
      <c r="J24" s="3" t="s">
        <v>19</v>
      </c>
      <c r="K24" s="74"/>
    </row>
    <row r="25" spans="2:11">
      <c r="B25" s="4">
        <v>1</v>
      </c>
      <c r="C25" s="17">
        <f>1970000+670000+280000</f>
        <v>2920000</v>
      </c>
      <c r="D25" s="75">
        <v>0</v>
      </c>
      <c r="E25" s="75">
        <f>C25+D25</f>
        <v>2920000</v>
      </c>
      <c r="F25" s="75">
        <v>2760000</v>
      </c>
      <c r="G25" s="75">
        <v>2560</v>
      </c>
      <c r="H25" s="75">
        <f>F25-G25</f>
        <v>2757440</v>
      </c>
      <c r="I25" s="75">
        <v>2555000</v>
      </c>
      <c r="J25" s="75">
        <f>H25-I25</f>
        <v>202440</v>
      </c>
    </row>
    <row r="26" spans="2:11">
      <c r="B26" s="4">
        <v>2</v>
      </c>
      <c r="C26" s="17">
        <f>390500+260000</f>
        <v>650500</v>
      </c>
      <c r="D26" s="75">
        <v>0</v>
      </c>
      <c r="E26" s="75">
        <f t="shared" ref="E26:E32" si="3">C26+D26</f>
        <v>650500</v>
      </c>
      <c r="F26" s="75">
        <v>265000</v>
      </c>
      <c r="G26" s="75">
        <v>560</v>
      </c>
      <c r="H26" s="75">
        <f>F26-G26</f>
        <v>264440</v>
      </c>
      <c r="I26" s="75">
        <v>223000</v>
      </c>
      <c r="J26" s="75">
        <f t="shared" ref="J26:J33" si="4">H26-I26</f>
        <v>41440</v>
      </c>
    </row>
    <row r="27" spans="2:11">
      <c r="B27" s="4">
        <v>3</v>
      </c>
      <c r="C27" s="17">
        <v>700000</v>
      </c>
      <c r="D27" s="75">
        <v>0</v>
      </c>
      <c r="E27" s="75">
        <f t="shared" si="3"/>
        <v>700000</v>
      </c>
      <c r="F27" s="75">
        <v>659000</v>
      </c>
      <c r="G27" s="75">
        <v>15000</v>
      </c>
      <c r="H27" s="75">
        <f>F27-G27</f>
        <v>644000</v>
      </c>
      <c r="I27" s="75">
        <v>609000</v>
      </c>
      <c r="J27" s="75">
        <f t="shared" si="4"/>
        <v>35000</v>
      </c>
    </row>
    <row r="28" spans="2:11">
      <c r="B28" s="4">
        <v>4</v>
      </c>
      <c r="C28" s="17">
        <v>950000</v>
      </c>
      <c r="D28" s="75">
        <v>0</v>
      </c>
      <c r="E28" s="75">
        <f t="shared" si="3"/>
        <v>950000</v>
      </c>
      <c r="F28" s="75">
        <v>866000</v>
      </c>
      <c r="G28" s="75">
        <v>0</v>
      </c>
      <c r="H28" s="75">
        <v>866000</v>
      </c>
      <c r="I28" s="75">
        <v>866000</v>
      </c>
      <c r="J28" s="75">
        <f t="shared" si="4"/>
        <v>0</v>
      </c>
    </row>
    <row r="29" spans="2:11">
      <c r="B29" s="4">
        <v>5</v>
      </c>
      <c r="C29" s="17">
        <v>50000</v>
      </c>
      <c r="D29" s="75">
        <v>0</v>
      </c>
      <c r="E29" s="75">
        <f t="shared" si="3"/>
        <v>50000</v>
      </c>
      <c r="F29" s="75">
        <v>49500</v>
      </c>
      <c r="G29" s="75">
        <v>0</v>
      </c>
      <c r="H29" s="75">
        <f>F29-G29</f>
        <v>49500</v>
      </c>
      <c r="I29" s="75">
        <v>0</v>
      </c>
      <c r="J29" s="75">
        <f t="shared" si="4"/>
        <v>49500</v>
      </c>
    </row>
    <row r="30" spans="2:11">
      <c r="B30" s="4">
        <v>6</v>
      </c>
      <c r="C30" s="17">
        <v>0</v>
      </c>
      <c r="D30" s="75">
        <v>0</v>
      </c>
      <c r="E30" s="75">
        <f t="shared" si="3"/>
        <v>0</v>
      </c>
      <c r="F30" s="75">
        <v>0</v>
      </c>
      <c r="G30" s="75">
        <v>0</v>
      </c>
      <c r="H30" s="75">
        <f>F30-G30</f>
        <v>0</v>
      </c>
      <c r="I30" s="75">
        <v>0</v>
      </c>
      <c r="J30" s="75">
        <f t="shared" si="4"/>
        <v>0</v>
      </c>
    </row>
    <row r="31" spans="2:11">
      <c r="B31" s="4">
        <v>7</v>
      </c>
      <c r="C31" s="17">
        <f>1000000+800000</f>
        <v>1800000</v>
      </c>
      <c r="D31" s="75">
        <v>0</v>
      </c>
      <c r="E31" s="75">
        <f t="shared" si="3"/>
        <v>1800000</v>
      </c>
      <c r="F31" s="75">
        <f>0.5*800000</f>
        <v>400000</v>
      </c>
      <c r="G31" s="75">
        <v>0</v>
      </c>
      <c r="H31" s="75">
        <f>F31-G31</f>
        <v>400000</v>
      </c>
      <c r="I31" s="75">
        <v>400000</v>
      </c>
      <c r="J31" s="75">
        <f t="shared" si="4"/>
        <v>0</v>
      </c>
    </row>
    <row r="32" spans="2:11">
      <c r="B32" s="4">
        <v>8</v>
      </c>
      <c r="C32" s="17">
        <v>0</v>
      </c>
      <c r="D32" s="75">
        <v>80000</v>
      </c>
      <c r="E32" s="75">
        <f t="shared" si="3"/>
        <v>80000</v>
      </c>
      <c r="F32" s="75">
        <v>0</v>
      </c>
      <c r="G32" s="75">
        <v>0</v>
      </c>
      <c r="H32" s="75">
        <f>F32-G32</f>
        <v>0</v>
      </c>
      <c r="I32" s="75">
        <v>0</v>
      </c>
      <c r="J32" s="75">
        <f t="shared" si="4"/>
        <v>0</v>
      </c>
    </row>
    <row r="33" spans="2:10">
      <c r="B33" s="4">
        <v>9</v>
      </c>
      <c r="C33" s="17">
        <f>1500000+1200000</f>
        <v>2700000</v>
      </c>
      <c r="D33" s="75">
        <v>0</v>
      </c>
      <c r="E33" s="75">
        <f>750000+1200000</f>
        <v>1950000</v>
      </c>
      <c r="F33" s="75">
        <v>1950000</v>
      </c>
      <c r="G33" s="75">
        <v>0</v>
      </c>
      <c r="H33" s="75">
        <f>F33-G33</f>
        <v>1950000</v>
      </c>
      <c r="I33" s="75">
        <v>1950000</v>
      </c>
      <c r="J33" s="75">
        <f t="shared" si="4"/>
        <v>0</v>
      </c>
    </row>
    <row r="34" spans="2:10" ht="15.75">
      <c r="B34" s="8" t="s">
        <v>11</v>
      </c>
      <c r="C34" s="67">
        <f>SUM(C25:C33)</f>
        <v>9770500</v>
      </c>
      <c r="D34" s="67">
        <f t="shared" ref="D34:J34" si="5">SUM(D25:D33)</f>
        <v>80000</v>
      </c>
      <c r="E34" s="67">
        <f t="shared" si="5"/>
        <v>9100500</v>
      </c>
      <c r="F34" s="67">
        <f t="shared" si="5"/>
        <v>6949500</v>
      </c>
      <c r="G34" s="67">
        <f t="shared" si="5"/>
        <v>18120</v>
      </c>
      <c r="H34" s="67">
        <f t="shared" si="5"/>
        <v>6931380</v>
      </c>
      <c r="I34" s="67">
        <f t="shared" si="5"/>
        <v>6603000</v>
      </c>
      <c r="J34" s="67">
        <f t="shared" si="5"/>
        <v>328380</v>
      </c>
    </row>
    <row r="35" spans="2:10">
      <c r="C35" s="10">
        <f>C34-C18</f>
        <v>0</v>
      </c>
    </row>
    <row r="37" spans="2:10" ht="15.75">
      <c r="B37" s="14" t="s">
        <v>163</v>
      </c>
    </row>
    <row r="39" spans="2:10" ht="15.75">
      <c r="B39" s="15" t="s">
        <v>21</v>
      </c>
    </row>
    <row r="40" spans="2:10" ht="15.75">
      <c r="C40" s="16"/>
      <c r="D40" s="16"/>
    </row>
    <row r="41" spans="2:10" ht="31.5">
      <c r="B41" s="15"/>
      <c r="C41" s="3" t="s">
        <v>22</v>
      </c>
      <c r="D41" s="3" t="s">
        <v>23</v>
      </c>
    </row>
    <row r="42" spans="2:10" ht="15.75">
      <c r="B42" s="8" t="s">
        <v>24</v>
      </c>
      <c r="C42" s="17">
        <v>875000</v>
      </c>
      <c r="D42" s="17">
        <v>260000</v>
      </c>
    </row>
    <row r="43" spans="2:10" ht="15.75">
      <c r="B43" s="8" t="s">
        <v>25</v>
      </c>
      <c r="C43" s="17">
        <v>66000</v>
      </c>
      <c r="D43" s="17">
        <v>22000</v>
      </c>
    </row>
    <row r="44" spans="2:10" ht="15.75">
      <c r="B44" s="8" t="s">
        <v>26</v>
      </c>
      <c r="C44" s="17">
        <v>530000</v>
      </c>
      <c r="D44" s="17">
        <v>305000</v>
      </c>
    </row>
    <row r="46" spans="2:10" ht="15.75">
      <c r="B46" s="18" t="s">
        <v>27</v>
      </c>
    </row>
    <row r="47" spans="2:10" ht="15.75">
      <c r="B47" s="18"/>
    </row>
    <row r="48" spans="2:10">
      <c r="B48" s="19" t="s">
        <v>149</v>
      </c>
    </row>
    <row r="49" spans="2:2">
      <c r="B49" s="19" t="s">
        <v>150</v>
      </c>
    </row>
    <row r="50" spans="2:2">
      <c r="B50" s="19" t="s">
        <v>151</v>
      </c>
    </row>
    <row r="51" spans="2:2">
      <c r="B51" s="19" t="s">
        <v>152</v>
      </c>
    </row>
    <row r="52" spans="2:2" ht="15.75">
      <c r="B52" s="18"/>
    </row>
    <row r="53" spans="2:2" ht="15.75">
      <c r="B53" s="18" t="s">
        <v>153</v>
      </c>
    </row>
    <row r="55" spans="2:2">
      <c r="B55" t="s">
        <v>154</v>
      </c>
    </row>
    <row r="56" spans="2:2">
      <c r="B56" t="s">
        <v>155</v>
      </c>
    </row>
    <row r="58" spans="2:2" ht="15.75">
      <c r="B58" s="15" t="s">
        <v>33</v>
      </c>
    </row>
    <row r="60" spans="2:2">
      <c r="B60" t="s">
        <v>34</v>
      </c>
    </row>
    <row r="61" spans="2:2">
      <c r="B61" t="s">
        <v>156</v>
      </c>
    </row>
    <row r="62" spans="2:2">
      <c r="B62" t="s">
        <v>157</v>
      </c>
    </row>
    <row r="63" spans="2:2">
      <c r="B63" t="s">
        <v>37</v>
      </c>
    </row>
    <row r="65" spans="2:5">
      <c r="B65" t="s">
        <v>158</v>
      </c>
    </row>
    <row r="67" spans="2:5">
      <c r="B67" t="s">
        <v>159</v>
      </c>
      <c r="E67" s="10">
        <v>50000</v>
      </c>
    </row>
    <row r="68" spans="2:5">
      <c r="B68" t="s">
        <v>160</v>
      </c>
      <c r="E68" s="10">
        <v>7500</v>
      </c>
    </row>
    <row r="70" spans="2:5" ht="15.75">
      <c r="B70" s="15" t="s">
        <v>164</v>
      </c>
    </row>
    <row r="72" spans="2:5">
      <c r="B72" t="s">
        <v>165</v>
      </c>
    </row>
    <row r="73" spans="2:5">
      <c r="B73" t="s">
        <v>166</v>
      </c>
    </row>
    <row r="76" spans="2:5">
      <c r="B76" t="s">
        <v>167</v>
      </c>
    </row>
    <row r="79" spans="2:5" ht="15.75">
      <c r="B79" s="1" t="s">
        <v>142</v>
      </c>
    </row>
    <row r="80" spans="2:5" ht="15.75">
      <c r="B80" s="1"/>
    </row>
    <row r="81" spans="2:8" s="76" customFormat="1" ht="15.75">
      <c r="B81" s="15" t="s">
        <v>54</v>
      </c>
      <c r="C81" s="15"/>
      <c r="D81" s="15"/>
      <c r="E81" s="15"/>
      <c r="F81" s="15"/>
    </row>
    <row r="82" spans="2:8" s="76" customFormat="1" ht="15.75">
      <c r="B82" s="15" t="s">
        <v>40</v>
      </c>
      <c r="C82" s="15"/>
      <c r="D82" s="15"/>
      <c r="E82" s="15"/>
      <c r="F82" s="15"/>
    </row>
    <row r="83" spans="2:8" s="77" customFormat="1" ht="15.75"/>
    <row r="84" spans="2:8" s="76" customFormat="1" ht="15.75">
      <c r="B84" s="76" t="s">
        <v>56</v>
      </c>
      <c r="C84" s="78">
        <f>SUM(H25:H31)</f>
        <v>4981380</v>
      </c>
    </row>
    <row r="85" spans="2:8" s="76" customFormat="1" ht="15.75">
      <c r="B85" s="76" t="s">
        <v>57</v>
      </c>
      <c r="C85" s="78">
        <f>SUM(H9:H15)</f>
        <v>7914000</v>
      </c>
    </row>
    <row r="86" spans="2:8" s="76" customFormat="1" ht="15.75"/>
    <row r="87" spans="2:8" s="76" customFormat="1" ht="15.75">
      <c r="B87" s="99" t="s">
        <v>58</v>
      </c>
      <c r="C87" s="99"/>
      <c r="D87" s="99"/>
      <c r="E87" s="100">
        <f>C84-C85</f>
        <v>-2932620</v>
      </c>
    </row>
    <row r="88" spans="2:8" s="76" customFormat="1" ht="15.75"/>
    <row r="89" spans="2:8" s="76" customFormat="1" ht="15.75">
      <c r="B89" s="15" t="s">
        <v>59</v>
      </c>
    </row>
    <row r="90" spans="2:8" s="76" customFormat="1" ht="16.5" thickBot="1"/>
    <row r="91" spans="2:8" s="76" customFormat="1" ht="16.5" thickBot="1">
      <c r="B91" s="20" t="s">
        <v>60</v>
      </c>
      <c r="C91" s="21"/>
      <c r="D91" s="22"/>
      <c r="F91" s="20" t="s">
        <v>61</v>
      </c>
      <c r="G91" s="79"/>
      <c r="H91" s="80"/>
    </row>
    <row r="92" spans="2:8" s="77" customFormat="1" ht="15.75"/>
    <row r="93" spans="2:8" s="77" customFormat="1" ht="15.75">
      <c r="B93" s="15" t="s">
        <v>62</v>
      </c>
      <c r="C93" s="76"/>
      <c r="D93" s="76"/>
      <c r="F93" s="15" t="s">
        <v>63</v>
      </c>
      <c r="G93" s="76"/>
      <c r="H93" s="76"/>
    </row>
    <row r="94" spans="2:8" s="77" customFormat="1" ht="15.75">
      <c r="B94" s="76" t="s">
        <v>64</v>
      </c>
      <c r="C94" s="76"/>
      <c r="D94" s="76"/>
      <c r="F94" s="76" t="s">
        <v>64</v>
      </c>
      <c r="G94" s="76"/>
      <c r="H94" s="76"/>
    </row>
    <row r="95" spans="2:8" s="77" customFormat="1" ht="15.75">
      <c r="B95" s="76"/>
      <c r="C95" s="76"/>
      <c r="D95" s="76"/>
      <c r="F95" s="76"/>
      <c r="G95" s="76"/>
      <c r="H95" s="76"/>
    </row>
    <row r="96" spans="2:8" s="77" customFormat="1" ht="15.75">
      <c r="B96" s="76" t="s">
        <v>65</v>
      </c>
      <c r="C96" s="78">
        <f>SUM(H25:H27)</f>
        <v>3665880</v>
      </c>
      <c r="D96" s="76"/>
      <c r="F96" s="76" t="s">
        <v>66</v>
      </c>
      <c r="G96" s="76"/>
      <c r="H96" s="78">
        <v>5000</v>
      </c>
    </row>
    <row r="97" spans="2:8" s="77" customFormat="1" ht="15.75">
      <c r="B97" s="76" t="s">
        <v>67</v>
      </c>
      <c r="C97" s="78">
        <f>SUM(I25:I27)</f>
        <v>3387000</v>
      </c>
      <c r="D97" s="76"/>
      <c r="F97" s="76" t="s">
        <v>68</v>
      </c>
      <c r="G97" s="76"/>
      <c r="H97" s="78">
        <v>155000</v>
      </c>
    </row>
    <row r="98" spans="2:8" s="77" customFormat="1" ht="15.75">
      <c r="B98" s="76" t="s">
        <v>69</v>
      </c>
      <c r="C98" s="78">
        <f>SUM(D42:D44)</f>
        <v>587000</v>
      </c>
      <c r="D98" s="76"/>
      <c r="F98" s="76"/>
      <c r="G98" s="76"/>
      <c r="H98" s="78"/>
    </row>
    <row r="99" spans="2:8" s="77" customFormat="1" ht="15.75">
      <c r="B99" s="76"/>
      <c r="C99" s="76"/>
      <c r="D99" s="76"/>
      <c r="F99" s="76" t="s">
        <v>70</v>
      </c>
      <c r="G99" s="76"/>
      <c r="H99" s="25">
        <f>-H96+H97</f>
        <v>150000</v>
      </c>
    </row>
    <row r="100" spans="2:8" s="77" customFormat="1" ht="15.75">
      <c r="B100" s="76" t="s">
        <v>70</v>
      </c>
      <c r="C100" s="25">
        <f>-C96+C97+C98</f>
        <v>308120</v>
      </c>
      <c r="D100" s="76"/>
      <c r="F100" s="76" t="s">
        <v>71</v>
      </c>
      <c r="G100" s="76"/>
      <c r="H100" s="76"/>
    </row>
    <row r="101" spans="2:8" s="77" customFormat="1" ht="15.75">
      <c r="B101" s="76" t="s">
        <v>72</v>
      </c>
      <c r="C101" s="76"/>
      <c r="D101" s="76"/>
    </row>
    <row r="102" spans="2:8" s="77" customFormat="1" ht="15.75">
      <c r="F102" s="15" t="s">
        <v>73</v>
      </c>
      <c r="G102" s="76"/>
      <c r="H102" s="76"/>
    </row>
    <row r="103" spans="2:8" s="77" customFormat="1" ht="15.75">
      <c r="F103" s="76" t="s">
        <v>64</v>
      </c>
      <c r="G103" s="76"/>
      <c r="H103" s="76"/>
    </row>
    <row r="104" spans="2:8" s="77" customFormat="1" ht="15.75">
      <c r="B104" s="15" t="s">
        <v>74</v>
      </c>
      <c r="C104" s="76"/>
      <c r="D104" s="76"/>
      <c r="F104" s="76"/>
      <c r="G104" s="76"/>
      <c r="H104" s="76"/>
    </row>
    <row r="105" spans="2:8" s="77" customFormat="1" ht="15.75">
      <c r="B105" s="76" t="s">
        <v>64</v>
      </c>
      <c r="C105" s="76"/>
      <c r="D105" s="76"/>
      <c r="F105" s="76" t="s">
        <v>75</v>
      </c>
      <c r="G105" s="76"/>
      <c r="H105" s="76">
        <v>500</v>
      </c>
    </row>
    <row r="106" spans="2:8" s="77" customFormat="1" ht="15.75">
      <c r="B106" s="76"/>
      <c r="C106" s="76"/>
      <c r="D106" s="76"/>
      <c r="F106" s="76" t="s">
        <v>76</v>
      </c>
      <c r="G106" s="76"/>
      <c r="H106" s="76">
        <v>50</v>
      </c>
    </row>
    <row r="107" spans="2:8" s="77" customFormat="1" ht="15.75">
      <c r="B107" s="76" t="s">
        <v>77</v>
      </c>
      <c r="C107" s="25">
        <f>45000+30000+4500</f>
        <v>79500</v>
      </c>
      <c r="D107" s="76"/>
      <c r="F107" s="76"/>
      <c r="G107" s="76"/>
      <c r="H107" s="76"/>
    </row>
    <row r="108" spans="2:8" s="77" customFormat="1" ht="15.75">
      <c r="B108" s="76" t="s">
        <v>72</v>
      </c>
      <c r="C108" s="76"/>
      <c r="D108" s="76"/>
      <c r="F108" s="76" t="s">
        <v>70</v>
      </c>
      <c r="G108" s="76"/>
      <c r="H108" s="25">
        <f>-H105+H106</f>
        <v>-450</v>
      </c>
    </row>
    <row r="109" spans="2:8" s="77" customFormat="1" ht="15.75">
      <c r="F109" s="76" t="s">
        <v>78</v>
      </c>
      <c r="G109" s="76"/>
      <c r="H109" s="76"/>
    </row>
    <row r="110" spans="2:8" s="77" customFormat="1" ht="15.75">
      <c r="F110" s="76"/>
      <c r="G110" s="76"/>
      <c r="H110" s="76"/>
    </row>
    <row r="111" spans="2:8" s="77" customFormat="1" ht="15.75">
      <c r="F111" s="15" t="s">
        <v>79</v>
      </c>
      <c r="G111" s="76"/>
      <c r="H111" s="76"/>
    </row>
    <row r="112" spans="2:8" s="77" customFormat="1" ht="15.75">
      <c r="F112" s="76" t="s">
        <v>64</v>
      </c>
      <c r="G112" s="76"/>
      <c r="H112" s="76"/>
    </row>
    <row r="113" spans="2:8" s="77" customFormat="1" ht="15.75">
      <c r="F113" s="76"/>
      <c r="G113" s="76"/>
      <c r="H113" s="76"/>
    </row>
    <row r="114" spans="2:8" s="77" customFormat="1" ht="15.75">
      <c r="F114" s="76" t="s">
        <v>168</v>
      </c>
      <c r="G114" s="76"/>
      <c r="H114" s="78">
        <v>50000</v>
      </c>
    </row>
    <row r="115" spans="2:8" s="77" customFormat="1" ht="15.75">
      <c r="F115" s="76" t="s">
        <v>169</v>
      </c>
      <c r="G115" s="76"/>
      <c r="H115" s="76">
        <f>-7500</f>
        <v>-7500</v>
      </c>
    </row>
    <row r="116" spans="2:8" s="77" customFormat="1" ht="15.75">
      <c r="F116" s="76" t="s">
        <v>70</v>
      </c>
      <c r="G116" s="76"/>
      <c r="H116" s="25">
        <f>SUM(H114:H115)</f>
        <v>42500</v>
      </c>
    </row>
    <row r="117" spans="2:8" s="77" customFormat="1" ht="15.75">
      <c r="F117" s="76"/>
      <c r="G117" s="76"/>
      <c r="H117" s="25"/>
    </row>
    <row r="118" spans="2:8" s="77" customFormat="1" ht="15.75">
      <c r="F118" s="76" t="s">
        <v>170</v>
      </c>
      <c r="G118" s="76"/>
      <c r="H118" s="76"/>
    </row>
    <row r="119" spans="2:8" s="77" customFormat="1" ht="16.5" thickBot="1"/>
    <row r="120" spans="2:8" s="77" customFormat="1" ht="15.75">
      <c r="B120" s="26" t="s">
        <v>81</v>
      </c>
      <c r="C120" s="27"/>
      <c r="D120" s="28">
        <f>C100+C107</f>
        <v>387620</v>
      </c>
      <c r="E120" s="76"/>
      <c r="F120" s="26" t="s">
        <v>82</v>
      </c>
      <c r="G120" s="27"/>
      <c r="H120" s="28">
        <f>H99+H108+H116</f>
        <v>192050</v>
      </c>
    </row>
    <row r="121" spans="2:8" s="77" customFormat="1" ht="16.5" thickBot="1">
      <c r="B121" s="29" t="s">
        <v>83</v>
      </c>
      <c r="C121" s="30"/>
      <c r="D121" s="31">
        <f>C84+D120</f>
        <v>5369000</v>
      </c>
      <c r="E121" s="76"/>
      <c r="F121" s="29" t="s">
        <v>84</v>
      </c>
      <c r="G121" s="30"/>
      <c r="H121" s="31">
        <f>C85+H120</f>
        <v>8106050</v>
      </c>
    </row>
    <row r="122" spans="2:8" s="77" customFormat="1" ht="16.5" thickBot="1"/>
    <row r="123" spans="2:8" s="77" customFormat="1" ht="16.5" thickBot="1">
      <c r="B123" s="32" t="s">
        <v>85</v>
      </c>
      <c r="C123" s="33"/>
      <c r="D123" s="33"/>
      <c r="E123" s="34">
        <f>D121-H121</f>
        <v>-2737050</v>
      </c>
    </row>
    <row r="124" spans="2:8" s="77" customFormat="1" ht="15.75"/>
    <row r="125" spans="2:8" s="77" customFormat="1" ht="16.5" thickBot="1"/>
    <row r="126" spans="2:8" s="77" customFormat="1" ht="16.5" thickBot="1">
      <c r="B126" s="104" t="s">
        <v>86</v>
      </c>
      <c r="C126" s="105"/>
      <c r="D126" s="105"/>
      <c r="E126" s="106"/>
    </row>
    <row r="127" spans="2:8" s="77" customFormat="1" ht="15.75">
      <c r="B127" s="35" t="s">
        <v>87</v>
      </c>
      <c r="C127" s="81"/>
      <c r="D127" s="81"/>
      <c r="E127" s="36">
        <f>SUM(H25:H31)</f>
        <v>4981380</v>
      </c>
    </row>
    <row r="128" spans="2:8" s="77" customFormat="1" ht="16.5" thickBot="1">
      <c r="B128" s="35" t="s">
        <v>88</v>
      </c>
      <c r="C128" s="81"/>
      <c r="D128" s="81"/>
      <c r="E128" s="37">
        <f>SUM(H9:H15)</f>
        <v>7914000</v>
      </c>
    </row>
    <row r="129" spans="2:5" s="77" customFormat="1" ht="15.75">
      <c r="B129" s="107" t="s">
        <v>89</v>
      </c>
      <c r="C129" s="108"/>
      <c r="D129" s="109"/>
      <c r="E129" s="38">
        <f>+E127-E128</f>
        <v>-2932620</v>
      </c>
    </row>
    <row r="130" spans="2:5" s="77" customFormat="1" ht="15.75">
      <c r="B130" s="39" t="s">
        <v>90</v>
      </c>
      <c r="C130" s="82"/>
      <c r="D130" s="82"/>
      <c r="E130" s="41">
        <f>C100</f>
        <v>308120</v>
      </c>
    </row>
    <row r="131" spans="2:5" s="77" customFormat="1" ht="15.75">
      <c r="B131" s="42" t="s">
        <v>91</v>
      </c>
      <c r="C131" s="83"/>
      <c r="D131" s="83"/>
      <c r="E131" s="44">
        <f>-H108</f>
        <v>450</v>
      </c>
    </row>
    <row r="132" spans="2:5" s="77" customFormat="1" ht="15.75">
      <c r="B132" s="39" t="s">
        <v>92</v>
      </c>
      <c r="C132" s="82"/>
      <c r="D132" s="84"/>
      <c r="E132" s="41">
        <v>0</v>
      </c>
    </row>
    <row r="133" spans="2:5" s="77" customFormat="1" ht="15.75">
      <c r="B133" s="46" t="s">
        <v>93</v>
      </c>
      <c r="C133" s="85"/>
      <c r="D133" s="85"/>
      <c r="E133" s="48">
        <v>0</v>
      </c>
    </row>
    <row r="134" spans="2:5" s="77" customFormat="1" ht="15.75">
      <c r="B134" s="49" t="s">
        <v>94</v>
      </c>
      <c r="C134" s="86"/>
      <c r="D134" s="86"/>
      <c r="E134" s="48">
        <v>0</v>
      </c>
    </row>
    <row r="135" spans="2:5" s="77" customFormat="1" ht="15.75">
      <c r="B135" s="49" t="s">
        <v>95</v>
      </c>
      <c r="C135" s="86"/>
      <c r="D135" s="86"/>
      <c r="E135" s="48">
        <v>0</v>
      </c>
    </row>
    <row r="136" spans="2:5" s="77" customFormat="1" ht="15.75">
      <c r="B136" s="49" t="s">
        <v>96</v>
      </c>
      <c r="C136" s="86"/>
      <c r="D136" s="86"/>
      <c r="E136" s="48">
        <v>0</v>
      </c>
    </row>
    <row r="137" spans="2:5" s="77" customFormat="1" ht="15.75">
      <c r="B137" s="50" t="s">
        <v>97</v>
      </c>
      <c r="C137" s="87"/>
      <c r="D137" s="87"/>
      <c r="E137" s="48">
        <v>0</v>
      </c>
    </row>
    <row r="138" spans="2:5" s="77" customFormat="1" ht="15.75">
      <c r="B138" s="52" t="s">
        <v>98</v>
      </c>
      <c r="C138" s="88"/>
      <c r="D138" s="89"/>
      <c r="E138" s="55">
        <v>0</v>
      </c>
    </row>
    <row r="139" spans="2:5" s="77" customFormat="1" ht="15.75">
      <c r="B139" s="39" t="s">
        <v>99</v>
      </c>
      <c r="C139" s="82"/>
      <c r="D139" s="84"/>
      <c r="E139" s="55">
        <v>0</v>
      </c>
    </row>
    <row r="140" spans="2:5" s="77" customFormat="1" ht="15.75">
      <c r="B140" s="46" t="s">
        <v>100</v>
      </c>
      <c r="C140" s="85"/>
      <c r="D140" s="85"/>
      <c r="E140" s="48">
        <v>0</v>
      </c>
    </row>
    <row r="141" spans="2:5" s="77" customFormat="1" ht="15.75">
      <c r="B141" s="49" t="s">
        <v>101</v>
      </c>
      <c r="C141" s="86"/>
      <c r="D141" s="86"/>
      <c r="E141" s="48">
        <v>0</v>
      </c>
    </row>
    <row r="142" spans="2:5" s="77" customFormat="1" ht="15.75">
      <c r="B142" s="49" t="s">
        <v>102</v>
      </c>
      <c r="C142" s="86"/>
      <c r="D142" s="86"/>
      <c r="E142" s="48">
        <v>0</v>
      </c>
    </row>
    <row r="143" spans="2:5" s="77" customFormat="1" ht="15.75">
      <c r="B143" s="49" t="s">
        <v>103</v>
      </c>
      <c r="C143" s="86"/>
      <c r="D143" s="86"/>
      <c r="E143" s="48">
        <f>-H99</f>
        <v>-150000</v>
      </c>
    </row>
    <row r="144" spans="2:5" s="77" customFormat="1" ht="15.75">
      <c r="B144" s="49" t="s">
        <v>104</v>
      </c>
      <c r="C144" s="86"/>
      <c r="D144" s="86"/>
      <c r="E144" s="48">
        <v>0</v>
      </c>
    </row>
    <row r="145" spans="2:5" s="77" customFormat="1" ht="15.75">
      <c r="B145" s="50" t="s">
        <v>105</v>
      </c>
      <c r="C145" s="87"/>
      <c r="D145" s="87"/>
      <c r="E145" s="48">
        <f>-H116</f>
        <v>-42500</v>
      </c>
    </row>
    <row r="146" spans="2:5" s="77" customFormat="1" ht="15.75">
      <c r="B146" s="39" t="s">
        <v>106</v>
      </c>
      <c r="C146" s="82"/>
      <c r="D146" s="84"/>
      <c r="E146" s="55">
        <v>0</v>
      </c>
    </row>
    <row r="147" spans="2:5" s="77" customFormat="1" ht="15.75">
      <c r="B147" s="46" t="s">
        <v>107</v>
      </c>
      <c r="C147" s="85"/>
      <c r="D147" s="85"/>
      <c r="E147" s="48">
        <v>0</v>
      </c>
    </row>
    <row r="148" spans="2:5" s="77" customFormat="1" ht="15.75">
      <c r="B148" s="50" t="s">
        <v>108</v>
      </c>
      <c r="C148" s="87"/>
      <c r="D148" s="87"/>
      <c r="E148" s="48">
        <v>0</v>
      </c>
    </row>
    <row r="149" spans="2:5" s="77" customFormat="1" ht="15.75">
      <c r="B149" s="39" t="s">
        <v>109</v>
      </c>
      <c r="C149" s="82"/>
      <c r="D149" s="84"/>
      <c r="E149" s="55">
        <v>0</v>
      </c>
    </row>
    <row r="150" spans="2:5" s="77" customFormat="1" ht="15.75">
      <c r="B150" s="46" t="s">
        <v>110</v>
      </c>
      <c r="C150" s="85"/>
      <c r="D150" s="85"/>
      <c r="E150" s="48">
        <f>C107</f>
        <v>79500</v>
      </c>
    </row>
    <row r="151" spans="2:5" s="77" customFormat="1" ht="15.75">
      <c r="B151" s="49" t="s">
        <v>111</v>
      </c>
      <c r="C151" s="86"/>
      <c r="D151" s="86"/>
      <c r="E151" s="48">
        <v>0</v>
      </c>
    </row>
    <row r="152" spans="2:5" s="77" customFormat="1" ht="15.75">
      <c r="B152" s="110" t="s">
        <v>112</v>
      </c>
      <c r="C152" s="111"/>
      <c r="D152" s="111"/>
      <c r="E152" s="56">
        <f>SUM(E130:E151)</f>
        <v>195570</v>
      </c>
    </row>
    <row r="153" spans="2:5" s="77" customFormat="1" ht="16.5" thickBot="1">
      <c r="B153" s="112" t="s">
        <v>113</v>
      </c>
      <c r="C153" s="113"/>
      <c r="D153" s="114"/>
      <c r="E153" s="57">
        <f>SUM(E129:E151)</f>
        <v>-2737050</v>
      </c>
    </row>
    <row r="154" spans="2:5" s="77" customFormat="1" ht="16.5" thickBot="1">
      <c r="B154" s="58"/>
      <c r="C154" s="81"/>
      <c r="D154" s="81"/>
      <c r="E154" s="58"/>
    </row>
    <row r="155" spans="2:5" s="77" customFormat="1" ht="16.5" thickBot="1">
      <c r="B155" s="115" t="s">
        <v>114</v>
      </c>
      <c r="C155" s="116"/>
      <c r="D155" s="116"/>
      <c r="E155" s="59">
        <f>+E153/E127</f>
        <v>-0.54945617479493636</v>
      </c>
    </row>
    <row r="156" spans="2:5" s="77" customFormat="1" ht="15.75"/>
    <row r="157" spans="2:5" s="81" customFormat="1">
      <c r="B157" s="81" t="s">
        <v>171</v>
      </c>
    </row>
    <row r="158" spans="2:5" s="81" customFormat="1">
      <c r="B158" s="81" t="s">
        <v>172</v>
      </c>
    </row>
    <row r="159" spans="2:5" s="77" customFormat="1" ht="15.75"/>
    <row r="160" spans="2:5" s="76" customFormat="1" ht="15.75">
      <c r="B160" s="15" t="s">
        <v>55</v>
      </c>
    </row>
    <row r="161" spans="2:7" s="76" customFormat="1" ht="15.75"/>
    <row r="162" spans="2:7" s="76" customFormat="1" ht="15.75">
      <c r="B162" s="76" t="s">
        <v>116</v>
      </c>
    </row>
    <row r="163" spans="2:7" s="76" customFormat="1" ht="15.75"/>
    <row r="164" spans="2:7" s="76" customFormat="1" ht="15.75">
      <c r="B164" s="90" t="s">
        <v>117</v>
      </c>
      <c r="C164" s="90" t="s">
        <v>118</v>
      </c>
      <c r="D164" s="91"/>
      <c r="E164" s="92"/>
      <c r="F164" s="93">
        <f>E128</f>
        <v>7914000</v>
      </c>
    </row>
    <row r="165" spans="2:7" s="76" customFormat="1" ht="15.75">
      <c r="B165" s="90" t="s">
        <v>119</v>
      </c>
      <c r="C165" s="94" t="s">
        <v>33</v>
      </c>
      <c r="F165" s="93">
        <v>59000</v>
      </c>
      <c r="G165" s="76" t="s">
        <v>173</v>
      </c>
    </row>
    <row r="166" spans="2:7" s="76" customFormat="1" ht="15.75">
      <c r="B166" s="90" t="s">
        <v>120</v>
      </c>
      <c r="C166" s="90" t="s">
        <v>121</v>
      </c>
      <c r="D166" s="91"/>
      <c r="E166" s="92"/>
      <c r="F166" s="93">
        <f>F164-F165</f>
        <v>7855000</v>
      </c>
    </row>
    <row r="167" spans="2:7" s="76" customFormat="1" ht="15.75">
      <c r="B167" s="90" t="s">
        <v>122</v>
      </c>
      <c r="C167" s="94" t="s">
        <v>123</v>
      </c>
      <c r="F167" s="93">
        <f>H99</f>
        <v>150000</v>
      </c>
    </row>
    <row r="168" spans="2:7" s="76" customFormat="1" ht="15.75">
      <c r="B168" s="90" t="s">
        <v>122</v>
      </c>
      <c r="C168" s="90" t="s">
        <v>124</v>
      </c>
      <c r="D168" s="91"/>
      <c r="E168" s="92"/>
      <c r="F168" s="93">
        <f>H116</f>
        <v>42500</v>
      </c>
    </row>
    <row r="169" spans="2:7" s="76" customFormat="1" ht="15.75">
      <c r="B169" s="90" t="s">
        <v>119</v>
      </c>
      <c r="C169" s="94" t="s">
        <v>125</v>
      </c>
      <c r="F169" s="93">
        <v>0</v>
      </c>
    </row>
    <row r="170" spans="2:7" s="76" customFormat="1" ht="15.75">
      <c r="B170" s="90" t="s">
        <v>119</v>
      </c>
      <c r="C170" s="90" t="s">
        <v>126</v>
      </c>
      <c r="D170" s="91"/>
      <c r="E170" s="92"/>
      <c r="F170" s="93">
        <v>0</v>
      </c>
    </row>
    <row r="171" spans="2:7" s="76" customFormat="1" ht="15.75">
      <c r="B171" s="90" t="s">
        <v>120</v>
      </c>
      <c r="C171" s="94" t="s">
        <v>127</v>
      </c>
      <c r="F171" s="93">
        <f>F166+F167+F168-F169-F170</f>
        <v>8047500</v>
      </c>
    </row>
    <row r="172" spans="2:7" s="76" customFormat="1" ht="15.75">
      <c r="B172" s="90" t="s">
        <v>119</v>
      </c>
      <c r="C172" s="90" t="s">
        <v>128</v>
      </c>
      <c r="D172" s="91"/>
      <c r="E172" s="92"/>
      <c r="F172" s="93"/>
    </row>
    <row r="173" spans="2:7" s="76" customFormat="1" ht="15.75">
      <c r="B173" s="90" t="s">
        <v>129</v>
      </c>
      <c r="C173" s="95" t="s">
        <v>130</v>
      </c>
      <c r="D173" s="96"/>
      <c r="E173" s="97"/>
      <c r="F173" s="93"/>
    </row>
    <row r="174" spans="2:7" s="76" customFormat="1" ht="16.5" thickBot="1">
      <c r="F174" s="78"/>
    </row>
    <row r="175" spans="2:7" s="76" customFormat="1" ht="16.5" thickBot="1">
      <c r="B175" s="62" t="s">
        <v>120</v>
      </c>
      <c r="C175" s="63" t="s">
        <v>131</v>
      </c>
      <c r="D175" s="98"/>
      <c r="E175" s="98"/>
      <c r="F175" s="65">
        <f>F171-F172+F173</f>
        <v>8047500</v>
      </c>
    </row>
    <row r="176" spans="2:7" s="76" customFormat="1" ht="15.75">
      <c r="F176" s="78"/>
    </row>
    <row r="177" spans="2:6" s="76" customFormat="1" ht="15.75">
      <c r="B177" s="8" t="s">
        <v>132</v>
      </c>
      <c r="C177" s="8" t="s">
        <v>133</v>
      </c>
      <c r="D177" s="91"/>
      <c r="E177" s="92"/>
      <c r="F177" s="66">
        <v>2.7E-2</v>
      </c>
    </row>
    <row r="178" spans="2:6" s="76" customFormat="1" ht="15.75">
      <c r="B178" s="8" t="s">
        <v>134</v>
      </c>
      <c r="C178" s="8" t="s">
        <v>135</v>
      </c>
      <c r="D178" s="91"/>
      <c r="E178" s="92"/>
      <c r="F178" s="67">
        <f>F175*F177</f>
        <v>217282.5</v>
      </c>
    </row>
    <row r="179" spans="2:6" s="76" customFormat="1" ht="15.75">
      <c r="B179" s="8" t="s">
        <v>136</v>
      </c>
      <c r="C179" s="8" t="s">
        <v>137</v>
      </c>
      <c r="D179" s="91"/>
      <c r="E179" s="92"/>
      <c r="F179" s="67">
        <f>F175+F178</f>
        <v>8264782.5</v>
      </c>
    </row>
    <row r="180" spans="2:6" s="76" customFormat="1" ht="15.75"/>
    <row r="181" spans="2:6" s="76" customFormat="1" ht="15.75"/>
    <row r="182" spans="2:6" s="76" customFormat="1" ht="15.75">
      <c r="B182" s="18" t="s">
        <v>174</v>
      </c>
    </row>
    <row r="183" spans="2:6" s="76" customFormat="1" ht="15.75">
      <c r="B183" s="18" t="s">
        <v>139</v>
      </c>
    </row>
    <row r="184" spans="2:6" s="76" customFormat="1" ht="15.75">
      <c r="B184" s="18" t="s">
        <v>140</v>
      </c>
    </row>
    <row r="185" spans="2:6" s="77" customFormat="1" ht="15.75"/>
    <row r="186" spans="2:6" s="77" customFormat="1" ht="15.75"/>
    <row r="187" spans="2:6" s="77" customFormat="1" ht="15.75"/>
    <row r="188" spans="2:6" s="77" customFormat="1" ht="15.75"/>
    <row r="189" spans="2:6" s="77" customFormat="1" ht="15.75"/>
    <row r="190" spans="2:6" s="77" customFormat="1" ht="15.75"/>
    <row r="191" spans="2:6" s="77" customFormat="1" ht="15.75"/>
    <row r="192" spans="2:6" s="77" customFormat="1" ht="15.75"/>
    <row r="193" s="77" customFormat="1" ht="15.75"/>
    <row r="194" s="77" customFormat="1" ht="15.75"/>
    <row r="195" s="77" customFormat="1" ht="15.75"/>
    <row r="196" s="77" customFormat="1" ht="15.75"/>
    <row r="197" s="77" customFormat="1" ht="15.75"/>
    <row r="198" s="77" customFormat="1" ht="15.75"/>
    <row r="199" s="77" customFormat="1" ht="15.75"/>
    <row r="200" s="77" customFormat="1" ht="15.75"/>
    <row r="201" s="77" customFormat="1" ht="15.75"/>
    <row r="202" s="77" customFormat="1" ht="15.75"/>
    <row r="203" s="77" customFormat="1" ht="15.75"/>
    <row r="204" s="77" customFormat="1" ht="15.75"/>
    <row r="205" s="77" customFormat="1" ht="15.75"/>
    <row r="206" s="77" customFormat="1" ht="15.75"/>
    <row r="207" s="77" customFormat="1" ht="15.75"/>
    <row r="208" s="77" customFormat="1" ht="15.75"/>
    <row r="209" s="77" customFormat="1" ht="15.75"/>
    <row r="210" s="77" customFormat="1" ht="15.75"/>
    <row r="211" s="77" customFormat="1" ht="15.75"/>
    <row r="212" s="77" customFormat="1" ht="15.75"/>
    <row r="213" s="77" customFormat="1" ht="15.75"/>
    <row r="214" s="77" customFormat="1" ht="15.75"/>
    <row r="215" s="77" customFormat="1" ht="15.75"/>
  </sheetData>
  <mergeCells count="6">
    <mergeCell ref="B155:D155"/>
    <mergeCell ref="B2:D2"/>
    <mergeCell ref="B126:E126"/>
    <mergeCell ref="B129:D129"/>
    <mergeCell ref="B152:D152"/>
    <mergeCell ref="B153:D153"/>
  </mergeCells>
  <pageMargins left="0.25" right="0.25" top="0.75" bottom="0.75" header="0.3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Supòsit 1</vt:lpstr>
      <vt:lpstr>Solució supòsit 1</vt:lpstr>
      <vt:lpstr>Supòsit 2</vt:lpstr>
      <vt:lpstr>Solució supòsit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Jorba Muñoz</dc:creator>
  <cp:lastModifiedBy>Montserrat Jorba Muñoz</cp:lastModifiedBy>
  <cp:lastPrinted>2022-09-27T17:00:36Z</cp:lastPrinted>
  <dcterms:created xsi:type="dcterms:W3CDTF">2022-09-27T16:41:52Z</dcterms:created>
  <dcterms:modified xsi:type="dcterms:W3CDTF">2022-09-27T17:01:53Z</dcterms:modified>
</cp:coreProperties>
</file>